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GareContrattiAppaltiEconomie_23" sheetId="1" r:id="rId1"/>
  </sheets>
  <calcPr calcId="125725"/>
</workbook>
</file>

<file path=xl/calcChain.xml><?xml version="1.0" encoding="utf-8"?>
<calcChain xmlns="http://schemas.openxmlformats.org/spreadsheetml/2006/main">
  <c r="A2" i="1"/>
  <c r="B2"/>
  <c r="A3"/>
  <c r="B3"/>
  <c r="G3"/>
  <c r="A4"/>
  <c r="B4"/>
  <c r="G4"/>
  <c r="A5"/>
  <c r="B5"/>
  <c r="G5"/>
  <c r="A6"/>
  <c r="B6"/>
  <c r="H6"/>
  <c r="A7"/>
  <c r="B7"/>
  <c r="G7"/>
  <c r="A8"/>
  <c r="B8"/>
  <c r="G8"/>
  <c r="A9"/>
  <c r="B9"/>
  <c r="G9"/>
  <c r="A10"/>
  <c r="B10"/>
  <c r="G10"/>
  <c r="A11"/>
  <c r="B11"/>
  <c r="G11"/>
  <c r="A12"/>
  <c r="B12"/>
  <c r="G12"/>
  <c r="A13"/>
  <c r="B13"/>
  <c r="G13"/>
  <c r="A14"/>
  <c r="B14"/>
  <c r="G14"/>
  <c r="A15"/>
  <c r="B15"/>
  <c r="G15"/>
  <c r="A16"/>
  <c r="B16"/>
  <c r="G16"/>
  <c r="A17"/>
  <c r="B17"/>
  <c r="G17"/>
  <c r="A18"/>
  <c r="B18"/>
  <c r="G18"/>
  <c r="A19"/>
  <c r="B19"/>
  <c r="G19"/>
  <c r="A20"/>
  <c r="B20"/>
  <c r="G20"/>
  <c r="A21"/>
  <c r="B21"/>
  <c r="G21"/>
  <c r="A22"/>
  <c r="B22"/>
  <c r="G22"/>
  <c r="A23"/>
  <c r="B23"/>
  <c r="G23"/>
  <c r="A24"/>
  <c r="B24"/>
  <c r="G24"/>
  <c r="A25"/>
  <c r="B25"/>
  <c r="G25"/>
  <c r="A26"/>
  <c r="B26"/>
  <c r="G26"/>
  <c r="A27"/>
  <c r="B27"/>
  <c r="H27"/>
  <c r="A28"/>
  <c r="B28"/>
  <c r="G28"/>
  <c r="A29"/>
  <c r="B29"/>
  <c r="G29"/>
  <c r="A30"/>
  <c r="B30"/>
  <c r="G30"/>
  <c r="A31"/>
  <c r="B31"/>
  <c r="G31"/>
  <c r="A32"/>
  <c r="B32"/>
  <c r="G32"/>
  <c r="A33"/>
  <c r="B33"/>
  <c r="G33"/>
  <c r="A34"/>
  <c r="B34"/>
  <c r="G34"/>
  <c r="A35"/>
  <c r="B35"/>
  <c r="G35"/>
  <c r="A36"/>
  <c r="B36"/>
  <c r="G36"/>
  <c r="A37"/>
  <c r="B37"/>
  <c r="G37"/>
  <c r="A38"/>
  <c r="B38"/>
  <c r="G38"/>
  <c r="A39"/>
  <c r="B39"/>
  <c r="G39"/>
  <c r="A40"/>
  <c r="B40"/>
  <c r="G40"/>
  <c r="A41"/>
  <c r="B41"/>
  <c r="G41"/>
  <c r="A42"/>
  <c r="B42"/>
  <c r="G42"/>
  <c r="A43"/>
  <c r="B43"/>
  <c r="G43"/>
  <c r="A44"/>
  <c r="B44"/>
  <c r="G44"/>
  <c r="A45"/>
  <c r="B45"/>
  <c r="G45"/>
  <c r="A46"/>
  <c r="B46"/>
  <c r="G46"/>
  <c r="A47"/>
  <c r="B47"/>
  <c r="G47"/>
  <c r="A48"/>
  <c r="B48"/>
  <c r="G48"/>
  <c r="A49"/>
  <c r="B49"/>
  <c r="G49"/>
  <c r="A50"/>
  <c r="B50"/>
  <c r="G50"/>
  <c r="A51"/>
  <c r="B51"/>
  <c r="G51"/>
  <c r="A52"/>
  <c r="B52"/>
  <c r="G52"/>
  <c r="A53"/>
  <c r="B53"/>
  <c r="G53"/>
  <c r="A54"/>
  <c r="B54"/>
  <c r="G54"/>
  <c r="A55"/>
  <c r="B55"/>
  <c r="G55"/>
  <c r="A56"/>
  <c r="B56"/>
  <c r="G56"/>
  <c r="A57"/>
  <c r="B57"/>
  <c r="G57"/>
  <c r="A58"/>
  <c r="B58"/>
  <c r="G58"/>
  <c r="A59"/>
  <c r="B59"/>
  <c r="G59"/>
  <c r="A60"/>
  <c r="B60"/>
  <c r="G60"/>
  <c r="A61"/>
  <c r="B61"/>
  <c r="G61"/>
  <c r="A62"/>
  <c r="B62"/>
  <c r="G62"/>
  <c r="A63"/>
  <c r="B63"/>
  <c r="G63"/>
  <c r="A64"/>
  <c r="B64"/>
  <c r="G64"/>
  <c r="A65"/>
  <c r="B65"/>
  <c r="G65"/>
  <c r="A66"/>
  <c r="B66"/>
  <c r="G66"/>
  <c r="A67"/>
  <c r="B67"/>
  <c r="G67"/>
  <c r="A68"/>
  <c r="B68"/>
  <c r="G68"/>
  <c r="A69"/>
  <c r="B69"/>
  <c r="A70"/>
  <c r="B70"/>
  <c r="G70"/>
  <c r="A71"/>
  <c r="B71"/>
  <c r="G71"/>
  <c r="A72"/>
  <c r="B72"/>
  <c r="G72"/>
  <c r="A73"/>
  <c r="B73"/>
  <c r="G73"/>
  <c r="A74"/>
  <c r="B74"/>
  <c r="G74"/>
  <c r="A75"/>
  <c r="B75"/>
  <c r="G75"/>
  <c r="A76"/>
  <c r="B76"/>
  <c r="A77"/>
  <c r="B77"/>
  <c r="G77"/>
  <c r="A78"/>
  <c r="B78"/>
  <c r="G78"/>
  <c r="A79"/>
  <c r="B79"/>
  <c r="G79"/>
  <c r="A80"/>
  <c r="B80"/>
  <c r="G80"/>
  <c r="A81"/>
  <c r="B81"/>
  <c r="G81"/>
  <c r="A82"/>
  <c r="B82"/>
  <c r="G82"/>
  <c r="A83"/>
  <c r="B83"/>
  <c r="G83"/>
  <c r="A84"/>
  <c r="B84"/>
  <c r="G84"/>
  <c r="A85"/>
  <c r="B85"/>
  <c r="G85"/>
  <c r="A86"/>
  <c r="B86"/>
  <c r="G86"/>
  <c r="A87"/>
  <c r="B87"/>
  <c r="G87"/>
  <c r="A88"/>
  <c r="B88"/>
  <c r="G88"/>
  <c r="A89"/>
  <c r="B89"/>
  <c r="G89"/>
  <c r="A90"/>
  <c r="B90"/>
  <c r="G90"/>
  <c r="A91"/>
  <c r="B91"/>
  <c r="G91"/>
  <c r="A92"/>
  <c r="B92"/>
  <c r="G92"/>
  <c r="A93"/>
  <c r="B93"/>
  <c r="G93"/>
  <c r="A94"/>
  <c r="B94"/>
  <c r="G94"/>
  <c r="A95"/>
  <c r="B95"/>
  <c r="G95"/>
  <c r="A96"/>
  <c r="B96"/>
  <c r="G96"/>
  <c r="A97"/>
  <c r="B97"/>
  <c r="G97"/>
  <c r="A98"/>
  <c r="B98"/>
  <c r="G98"/>
  <c r="A99"/>
  <c r="B99"/>
  <c r="G99"/>
  <c r="A100"/>
  <c r="B100"/>
  <c r="G100"/>
  <c r="A101"/>
  <c r="B101"/>
  <c r="G101"/>
  <c r="A102"/>
  <c r="B102"/>
  <c r="G102"/>
  <c r="A103"/>
  <c r="B103"/>
  <c r="G103"/>
  <c r="A104"/>
  <c r="B104"/>
  <c r="G104"/>
  <c r="A105"/>
  <c r="B105"/>
  <c r="G105"/>
  <c r="A106"/>
  <c r="B106"/>
  <c r="G106"/>
  <c r="A107"/>
  <c r="B107"/>
  <c r="H107"/>
  <c r="A108"/>
  <c r="B108"/>
  <c r="G108"/>
  <c r="A109"/>
  <c r="B109"/>
  <c r="G109"/>
  <c r="A110"/>
  <c r="B110"/>
  <c r="G110"/>
  <c r="A111"/>
  <c r="B111"/>
  <c r="G111"/>
  <c r="A112"/>
  <c r="B112"/>
  <c r="G112"/>
  <c r="A113"/>
  <c r="B113"/>
  <c r="G113"/>
  <c r="A114"/>
  <c r="B114"/>
  <c r="G114"/>
  <c r="A115"/>
  <c r="B115"/>
  <c r="G115"/>
  <c r="A116"/>
  <c r="B116"/>
  <c r="G116"/>
  <c r="A117"/>
  <c r="B117"/>
  <c r="G117"/>
  <c r="A118"/>
  <c r="B118"/>
  <c r="G118"/>
  <c r="A119"/>
  <c r="B119"/>
  <c r="G119"/>
  <c r="A120"/>
  <c r="B120"/>
  <c r="G120"/>
  <c r="A121"/>
  <c r="B121"/>
  <c r="G121"/>
  <c r="A122"/>
  <c r="B122"/>
  <c r="G122"/>
  <c r="A123"/>
  <c r="B123"/>
  <c r="G123"/>
  <c r="A124"/>
  <c r="B124"/>
  <c r="G124"/>
  <c r="A125"/>
  <c r="B125"/>
  <c r="G125"/>
  <c r="A126"/>
  <c r="B126"/>
  <c r="G126"/>
  <c r="A127"/>
  <c r="B127"/>
  <c r="G127"/>
  <c r="A128"/>
  <c r="B128"/>
  <c r="G128"/>
  <c r="A129"/>
  <c r="B129"/>
  <c r="G129"/>
  <c r="A130"/>
  <c r="B130"/>
  <c r="G130"/>
  <c r="A131"/>
  <c r="B131"/>
  <c r="G131"/>
  <c r="A132"/>
  <c r="B132"/>
  <c r="G132"/>
  <c r="A133"/>
  <c r="B133"/>
  <c r="G133"/>
  <c r="A134"/>
  <c r="B134"/>
  <c r="G134"/>
  <c r="A135"/>
  <c r="B135"/>
  <c r="G135"/>
  <c r="A136"/>
  <c r="B136"/>
  <c r="G136"/>
  <c r="A137"/>
  <c r="B137"/>
  <c r="G137"/>
  <c r="A138"/>
  <c r="B138"/>
  <c r="G138"/>
  <c r="A139"/>
  <c r="B139"/>
  <c r="G139"/>
  <c r="A140"/>
  <c r="B140"/>
  <c r="G140"/>
  <c r="A141"/>
  <c r="B141"/>
  <c r="G141"/>
  <c r="A142"/>
  <c r="B142"/>
  <c r="G142"/>
  <c r="A143"/>
  <c r="B143"/>
  <c r="G143"/>
  <c r="A144"/>
  <c r="B144"/>
  <c r="G144"/>
  <c r="A145"/>
  <c r="B145"/>
  <c r="G145"/>
  <c r="A146"/>
  <c r="B146"/>
  <c r="G146"/>
  <c r="A147"/>
  <c r="B147"/>
  <c r="G147"/>
  <c r="A148"/>
  <c r="B148"/>
  <c r="G148"/>
  <c r="A149"/>
  <c r="B149"/>
  <c r="G149"/>
  <c r="A150"/>
  <c r="B150"/>
  <c r="G150"/>
  <c r="A151"/>
  <c r="B151"/>
  <c r="G151"/>
  <c r="A152"/>
  <c r="B152"/>
  <c r="G152"/>
  <c r="A153"/>
  <c r="B153"/>
  <c r="G153"/>
  <c r="A154"/>
  <c r="B154"/>
  <c r="G154"/>
  <c r="A155"/>
  <c r="B155"/>
  <c r="G155"/>
  <c r="A156"/>
  <c r="B156"/>
  <c r="G156"/>
  <c r="A157"/>
  <c r="B157"/>
  <c r="G157"/>
  <c r="A158"/>
  <c r="B158"/>
  <c r="G158"/>
  <c r="A159"/>
  <c r="B159"/>
  <c r="G159"/>
  <c r="A160"/>
  <c r="B160"/>
  <c r="G160"/>
  <c r="A161"/>
  <c r="B161"/>
  <c r="G161"/>
  <c r="A162"/>
  <c r="B162"/>
  <c r="G162"/>
  <c r="A163"/>
  <c r="B163"/>
  <c r="G163"/>
  <c r="A164"/>
  <c r="B164"/>
  <c r="G164"/>
  <c r="A165"/>
  <c r="B165"/>
  <c r="G165"/>
  <c r="A166"/>
  <c r="B166"/>
  <c r="G166"/>
  <c r="A167"/>
  <c r="B167"/>
  <c r="G167"/>
  <c r="A168"/>
  <c r="B168"/>
  <c r="G168"/>
  <c r="A169"/>
  <c r="B169"/>
  <c r="G169"/>
  <c r="A170"/>
  <c r="B170"/>
  <c r="G170"/>
  <c r="A171"/>
  <c r="B171"/>
  <c r="G171"/>
  <c r="A172"/>
  <c r="B172"/>
  <c r="G172"/>
  <c r="A173"/>
  <c r="B173"/>
  <c r="G173"/>
  <c r="A174"/>
  <c r="B174"/>
  <c r="G174"/>
  <c r="A175"/>
  <c r="B175"/>
  <c r="H175"/>
  <c r="A176"/>
  <c r="B176"/>
  <c r="G176"/>
  <c r="A177"/>
  <c r="B177"/>
  <c r="G177"/>
  <c r="A178"/>
  <c r="B178"/>
  <c r="G178"/>
  <c r="A179"/>
  <c r="B179"/>
  <c r="G179"/>
  <c r="A180"/>
  <c r="B180"/>
  <c r="G180"/>
  <c r="A181"/>
  <c r="B181"/>
  <c r="G181"/>
  <c r="A182"/>
  <c r="B182"/>
  <c r="G182"/>
  <c r="A183"/>
  <c r="B183"/>
  <c r="G183"/>
  <c r="A184"/>
  <c r="B184"/>
  <c r="G184"/>
  <c r="A185"/>
  <c r="B185"/>
  <c r="G185"/>
  <c r="A186"/>
  <c r="B186"/>
  <c r="G186"/>
  <c r="A187"/>
  <c r="B187"/>
  <c r="G187"/>
  <c r="A188"/>
  <c r="B188"/>
  <c r="G188"/>
  <c r="A189"/>
  <c r="B189"/>
  <c r="G189"/>
  <c r="A190"/>
  <c r="B190"/>
  <c r="G190"/>
  <c r="A191"/>
  <c r="B191"/>
  <c r="G191"/>
  <c r="A192"/>
  <c r="B192"/>
  <c r="G192"/>
  <c r="A193"/>
  <c r="B193"/>
  <c r="G193"/>
  <c r="A194"/>
  <c r="B194"/>
  <c r="G194"/>
  <c r="A195"/>
  <c r="B195"/>
  <c r="G195"/>
  <c r="A196"/>
  <c r="B196"/>
  <c r="G196"/>
  <c r="A197"/>
  <c r="B197"/>
  <c r="G197"/>
  <c r="A198"/>
  <c r="B198"/>
  <c r="G198"/>
  <c r="A199"/>
  <c r="B199"/>
  <c r="G199"/>
  <c r="A200"/>
  <c r="B200"/>
  <c r="G200"/>
  <c r="A201"/>
  <c r="B201"/>
  <c r="G201"/>
  <c r="A202"/>
  <c r="B202"/>
  <c r="G202"/>
  <c r="A203"/>
  <c r="B203"/>
  <c r="G203"/>
  <c r="A204"/>
  <c r="B204"/>
  <c r="G204"/>
  <c r="A205"/>
  <c r="B205"/>
  <c r="G205"/>
  <c r="A206"/>
  <c r="B206"/>
  <c r="G206"/>
  <c r="A207"/>
  <c r="B207"/>
  <c r="G207"/>
  <c r="A208"/>
  <c r="B208"/>
  <c r="G208"/>
  <c r="A209"/>
  <c r="B209"/>
  <c r="G209"/>
  <c r="A210"/>
  <c r="B210"/>
  <c r="G210"/>
  <c r="A211"/>
  <c r="B211"/>
  <c r="G211"/>
  <c r="A212"/>
  <c r="B212"/>
  <c r="G212"/>
  <c r="A213"/>
  <c r="B213"/>
  <c r="G213"/>
  <c r="A214"/>
  <c r="B214"/>
  <c r="G214"/>
  <c r="A215"/>
  <c r="B215"/>
  <c r="G215"/>
  <c r="A216"/>
  <c r="B216"/>
  <c r="G216"/>
  <c r="A217"/>
  <c r="B217"/>
  <c r="G217"/>
  <c r="A218"/>
  <c r="B218"/>
  <c r="G218"/>
  <c r="A219"/>
  <c r="B219"/>
  <c r="G219"/>
  <c r="A220"/>
  <c r="B220"/>
  <c r="G220"/>
  <c r="A221"/>
  <c r="B221"/>
  <c r="G221"/>
  <c r="A222"/>
  <c r="B222"/>
  <c r="G222"/>
  <c r="A223"/>
  <c r="B223"/>
  <c r="G223"/>
  <c r="A224"/>
  <c r="B224"/>
  <c r="G224"/>
  <c r="A225"/>
  <c r="B225"/>
  <c r="G225"/>
  <c r="A226"/>
  <c r="B226"/>
  <c r="G226"/>
  <c r="A227"/>
  <c r="B227"/>
  <c r="G227"/>
  <c r="A228"/>
  <c r="B228"/>
  <c r="G228"/>
  <c r="A229"/>
  <c r="B229"/>
  <c r="G229"/>
  <c r="A230"/>
  <c r="B230"/>
  <c r="G230"/>
  <c r="A231"/>
  <c r="B231"/>
  <c r="G231"/>
  <c r="A232"/>
  <c r="B232"/>
  <c r="G232"/>
  <c r="A233"/>
  <c r="B233"/>
  <c r="G233"/>
  <c r="A234"/>
  <c r="B234"/>
  <c r="G234"/>
  <c r="A235"/>
  <c r="B235"/>
  <c r="G235"/>
  <c r="A236"/>
  <c r="B236"/>
  <c r="G236"/>
  <c r="A237"/>
  <c r="B237"/>
  <c r="H237"/>
  <c r="A238"/>
  <c r="B238"/>
  <c r="G238"/>
  <c r="A239"/>
  <c r="B239"/>
  <c r="G239"/>
  <c r="A240"/>
  <c r="B240"/>
  <c r="G240"/>
  <c r="A241"/>
  <c r="B241"/>
  <c r="G241"/>
  <c r="A242"/>
  <c r="B242"/>
  <c r="G242"/>
  <c r="A243"/>
  <c r="B243"/>
  <c r="G243"/>
  <c r="A244"/>
  <c r="B244"/>
  <c r="G244"/>
  <c r="A245"/>
  <c r="B245"/>
  <c r="G245"/>
  <c r="A246"/>
  <c r="B246"/>
  <c r="G246"/>
  <c r="A247"/>
  <c r="B247"/>
  <c r="G247"/>
  <c r="A248"/>
  <c r="B248"/>
  <c r="G248"/>
  <c r="A249"/>
  <c r="B249"/>
  <c r="G249"/>
  <c r="A250"/>
  <c r="B250"/>
  <c r="G250"/>
  <c r="A251"/>
  <c r="B251"/>
  <c r="G251"/>
  <c r="A252"/>
  <c r="B252"/>
  <c r="G252"/>
  <c r="A253"/>
  <c r="B253"/>
  <c r="G253"/>
  <c r="A254"/>
  <c r="B254"/>
  <c r="G254"/>
  <c r="A255"/>
  <c r="B255"/>
  <c r="G255"/>
  <c r="A256"/>
  <c r="B256"/>
  <c r="G256"/>
  <c r="A257"/>
  <c r="B257"/>
  <c r="G257"/>
  <c r="A258"/>
  <c r="B258"/>
  <c r="G258"/>
  <c r="A259"/>
  <c r="B259"/>
  <c r="G259"/>
  <c r="A260"/>
  <c r="B260"/>
  <c r="G260"/>
  <c r="A261"/>
  <c r="B261"/>
  <c r="G261"/>
  <c r="A262"/>
  <c r="B262"/>
  <c r="G262"/>
  <c r="A263"/>
  <c r="B263"/>
  <c r="G263"/>
  <c r="A264"/>
  <c r="B264"/>
  <c r="G264"/>
  <c r="A265"/>
  <c r="B265"/>
  <c r="G265"/>
  <c r="A266"/>
  <c r="B266"/>
  <c r="G266"/>
  <c r="A267"/>
  <c r="B267"/>
  <c r="G267"/>
  <c r="A268"/>
  <c r="B268"/>
  <c r="G268"/>
  <c r="A269"/>
  <c r="B269"/>
  <c r="G269"/>
  <c r="A270"/>
  <c r="B270"/>
  <c r="G270"/>
  <c r="A271"/>
  <c r="B271"/>
  <c r="G271"/>
  <c r="A272"/>
  <c r="B272"/>
  <c r="G272"/>
  <c r="A273"/>
  <c r="B273"/>
  <c r="G273"/>
  <c r="A274"/>
  <c r="B274"/>
  <c r="G274"/>
  <c r="A275"/>
  <c r="B275"/>
  <c r="G275"/>
  <c r="A276"/>
  <c r="B276"/>
  <c r="G276"/>
  <c r="A277"/>
  <c r="B277"/>
  <c r="H277"/>
  <c r="A278"/>
  <c r="B278"/>
  <c r="G278"/>
  <c r="A279"/>
  <c r="B279"/>
  <c r="G279"/>
  <c r="A280"/>
  <c r="B280"/>
  <c r="G280"/>
  <c r="A281"/>
  <c r="B281"/>
  <c r="G281"/>
  <c r="A282"/>
  <c r="B282"/>
  <c r="G282"/>
  <c r="A283"/>
  <c r="B283"/>
  <c r="G283"/>
  <c r="A284"/>
  <c r="B284"/>
  <c r="G284"/>
  <c r="A285"/>
  <c r="B285"/>
  <c r="G285"/>
  <c r="A286"/>
  <c r="B286"/>
  <c r="G286"/>
  <c r="A287"/>
  <c r="B287"/>
  <c r="G287"/>
  <c r="A288"/>
  <c r="B288"/>
  <c r="G288"/>
  <c r="A289"/>
  <c r="B289"/>
  <c r="G289"/>
  <c r="A290"/>
  <c r="B290"/>
  <c r="H290"/>
  <c r="A291"/>
  <c r="B291"/>
  <c r="G291"/>
  <c r="A292"/>
  <c r="B292"/>
  <c r="G292"/>
  <c r="A293"/>
  <c r="B293"/>
  <c r="G293"/>
  <c r="A294"/>
  <c r="B294"/>
  <c r="H294"/>
  <c r="A295"/>
  <c r="B295"/>
  <c r="G295"/>
  <c r="A296"/>
  <c r="B296"/>
  <c r="G296"/>
  <c r="A297"/>
  <c r="B297"/>
  <c r="G297"/>
  <c r="A298"/>
  <c r="B298"/>
  <c r="G298"/>
  <c r="A299"/>
  <c r="B299"/>
  <c r="G299"/>
  <c r="A300"/>
  <c r="B300"/>
  <c r="G300"/>
  <c r="A301"/>
  <c r="B301"/>
  <c r="G301"/>
  <c r="A302"/>
  <c r="B302"/>
  <c r="G302"/>
  <c r="A303"/>
  <c r="B303"/>
  <c r="G303"/>
  <c r="A304"/>
  <c r="B304"/>
  <c r="G304"/>
  <c r="A305"/>
  <c r="B305"/>
  <c r="G305"/>
  <c r="A306"/>
  <c r="B306"/>
  <c r="G306"/>
  <c r="A307"/>
  <c r="B307"/>
  <c r="G307"/>
  <c r="A308"/>
  <c r="B308"/>
  <c r="G308"/>
  <c r="A309"/>
  <c r="B309"/>
  <c r="G309"/>
  <c r="A310"/>
  <c r="B310"/>
  <c r="G310"/>
  <c r="A311"/>
  <c r="B311"/>
  <c r="G311"/>
  <c r="A312"/>
  <c r="B312"/>
  <c r="G312"/>
  <c r="A313"/>
  <c r="B313"/>
  <c r="G313"/>
  <c r="A314"/>
  <c r="B314"/>
  <c r="G314"/>
  <c r="A315"/>
  <c r="B315"/>
  <c r="G315"/>
  <c r="A316"/>
  <c r="B316"/>
  <c r="G316"/>
  <c r="A317"/>
  <c r="B317"/>
  <c r="G317"/>
  <c r="A318"/>
  <c r="B318"/>
  <c r="G318"/>
  <c r="A319"/>
  <c r="B319"/>
  <c r="G319"/>
  <c r="A320"/>
  <c r="B320"/>
  <c r="G320"/>
  <c r="A321"/>
  <c r="B321"/>
  <c r="G321"/>
  <c r="A322"/>
  <c r="B322"/>
  <c r="G322"/>
  <c r="A323"/>
  <c r="B323"/>
  <c r="G323"/>
  <c r="A324"/>
  <c r="B324"/>
  <c r="G324"/>
  <c r="A325"/>
  <c r="B325"/>
  <c r="G325"/>
  <c r="A326"/>
  <c r="B326"/>
  <c r="G326"/>
  <c r="A327"/>
  <c r="B327"/>
  <c r="G327"/>
  <c r="A328"/>
  <c r="B328"/>
  <c r="H328"/>
  <c r="A329"/>
  <c r="B329"/>
  <c r="G329"/>
  <c r="A330"/>
  <c r="B330"/>
  <c r="G330"/>
  <c r="A331"/>
  <c r="B331"/>
  <c r="H331"/>
  <c r="A332"/>
  <c r="B332"/>
  <c r="G332"/>
  <c r="A333"/>
  <c r="B333"/>
  <c r="G333"/>
  <c r="A334"/>
  <c r="B334"/>
  <c r="G334"/>
  <c r="A335"/>
  <c r="B335"/>
  <c r="G335"/>
  <c r="A336"/>
  <c r="B336"/>
  <c r="G336"/>
  <c r="A337"/>
  <c r="B337"/>
  <c r="H337"/>
  <c r="A338"/>
  <c r="B338"/>
  <c r="G338"/>
  <c r="A339"/>
  <c r="B339"/>
  <c r="G339"/>
  <c r="A340"/>
  <c r="B340"/>
  <c r="G340"/>
  <c r="A341"/>
  <c r="B341"/>
  <c r="H341"/>
  <c r="A342"/>
  <c r="B342"/>
  <c r="G342"/>
  <c r="A343"/>
  <c r="B343"/>
  <c r="G343"/>
  <c r="A344"/>
  <c r="B344"/>
  <c r="G344"/>
  <c r="A345"/>
  <c r="B345"/>
  <c r="G345"/>
  <c r="A346"/>
  <c r="B346"/>
  <c r="H346"/>
  <c r="A347"/>
  <c r="B347"/>
  <c r="G347"/>
  <c r="A348"/>
  <c r="B348"/>
  <c r="G348"/>
  <c r="A349"/>
  <c r="B349"/>
  <c r="G349"/>
  <c r="A350"/>
  <c r="B350"/>
  <c r="G350"/>
  <c r="A351"/>
  <c r="B351"/>
  <c r="G351"/>
  <c r="A352"/>
  <c r="B352"/>
  <c r="G352"/>
  <c r="A353"/>
  <c r="B353"/>
  <c r="G353"/>
  <c r="A354"/>
  <c r="B354"/>
  <c r="H354"/>
  <c r="A355"/>
  <c r="B355"/>
  <c r="G355"/>
  <c r="A356"/>
  <c r="B356"/>
  <c r="G356"/>
  <c r="A357"/>
  <c r="B357"/>
  <c r="G357"/>
  <c r="A358"/>
  <c r="B358"/>
  <c r="G358"/>
  <c r="A359"/>
  <c r="B359"/>
  <c r="G359"/>
  <c r="A360"/>
  <c r="B360"/>
  <c r="G360"/>
  <c r="A361"/>
  <c r="B361"/>
  <c r="G361"/>
  <c r="A362"/>
  <c r="B362"/>
  <c r="G362"/>
  <c r="A363"/>
  <c r="B363"/>
  <c r="G363"/>
  <c r="A364"/>
  <c r="B364"/>
  <c r="G364"/>
  <c r="A365"/>
  <c r="B365"/>
  <c r="G365"/>
  <c r="A366"/>
  <c r="B366"/>
  <c r="G366"/>
  <c r="A367"/>
  <c r="B367"/>
  <c r="G367"/>
  <c r="A368"/>
  <c r="B368"/>
  <c r="G368"/>
  <c r="A369"/>
  <c r="B369"/>
  <c r="G369"/>
  <c r="A370"/>
  <c r="B370"/>
  <c r="G370"/>
  <c r="A371"/>
  <c r="B371"/>
  <c r="G371"/>
  <c r="A372"/>
  <c r="B372"/>
  <c r="G372"/>
  <c r="A373"/>
  <c r="B373"/>
  <c r="G373"/>
  <c r="A374"/>
  <c r="B374"/>
  <c r="G374"/>
  <c r="A375"/>
  <c r="B375"/>
  <c r="G375"/>
  <c r="A376"/>
  <c r="B376"/>
  <c r="G376"/>
  <c r="A377"/>
  <c r="B377"/>
  <c r="G377"/>
  <c r="A378"/>
  <c r="B378"/>
  <c r="G378"/>
  <c r="A379"/>
  <c r="B379"/>
  <c r="G379"/>
  <c r="A380"/>
  <c r="B380"/>
  <c r="G380"/>
  <c r="A381"/>
  <c r="B381"/>
  <c r="G381"/>
  <c r="A382"/>
  <c r="B382"/>
  <c r="G382"/>
  <c r="A383"/>
  <c r="B383"/>
  <c r="G383"/>
  <c r="A384"/>
  <c r="B384"/>
  <c r="G384"/>
  <c r="A385"/>
  <c r="B385"/>
  <c r="G385"/>
  <c r="A386"/>
  <c r="B386"/>
  <c r="G386"/>
  <c r="A387"/>
  <c r="B387"/>
  <c r="G387"/>
  <c r="A388"/>
  <c r="B388"/>
  <c r="G388"/>
  <c r="A389"/>
  <c r="B389"/>
  <c r="G389"/>
  <c r="A390"/>
  <c r="B390"/>
  <c r="G390"/>
  <c r="A391"/>
  <c r="B391"/>
  <c r="G391"/>
  <c r="A392"/>
  <c r="B392"/>
  <c r="G392"/>
  <c r="A393"/>
  <c r="B393"/>
  <c r="G393"/>
  <c r="A394"/>
  <c r="B394"/>
  <c r="G394"/>
  <c r="A395"/>
  <c r="B395"/>
  <c r="G395"/>
  <c r="A396"/>
  <c r="B396"/>
  <c r="G396"/>
  <c r="A397"/>
  <c r="B397"/>
  <c r="G397"/>
  <c r="A398"/>
  <c r="B398"/>
  <c r="G398"/>
  <c r="A399"/>
  <c r="B399"/>
  <c r="G399"/>
  <c r="A400"/>
  <c r="B400"/>
  <c r="G400"/>
  <c r="A401"/>
  <c r="B401"/>
  <c r="G401"/>
  <c r="A402"/>
  <c r="B402"/>
  <c r="G402"/>
  <c r="A403"/>
  <c r="B403"/>
  <c r="G403"/>
  <c r="A404"/>
  <c r="B404"/>
  <c r="G404"/>
  <c r="A405"/>
  <c r="B405"/>
  <c r="G405"/>
  <c r="A406"/>
  <c r="B406"/>
  <c r="G406"/>
  <c r="A407"/>
  <c r="B407"/>
  <c r="G407"/>
  <c r="A408"/>
  <c r="B408"/>
  <c r="G408"/>
  <c r="A409"/>
  <c r="B409"/>
  <c r="G409"/>
  <c r="A410"/>
  <c r="B410"/>
  <c r="G410"/>
  <c r="A411"/>
  <c r="B411"/>
  <c r="G411"/>
  <c r="A412"/>
  <c r="B412"/>
  <c r="G412"/>
  <c r="A413"/>
  <c r="B413"/>
  <c r="G413"/>
  <c r="A414"/>
  <c r="B414"/>
  <c r="G414"/>
  <c r="A415"/>
  <c r="B415"/>
  <c r="G415"/>
  <c r="A416"/>
  <c r="B416"/>
  <c r="G416"/>
  <c r="A417"/>
  <c r="B417"/>
  <c r="G417"/>
  <c r="A418"/>
  <c r="B418"/>
  <c r="G418"/>
  <c r="A419"/>
  <c r="B419"/>
  <c r="G419"/>
  <c r="A420"/>
  <c r="B420"/>
  <c r="G420"/>
  <c r="A421"/>
  <c r="B421"/>
  <c r="G421"/>
  <c r="A422"/>
  <c r="B422"/>
  <c r="G422"/>
  <c r="A423"/>
  <c r="B423"/>
  <c r="G423"/>
  <c r="A424"/>
  <c r="B424"/>
  <c r="G424"/>
  <c r="A425"/>
  <c r="B425"/>
  <c r="G425"/>
  <c r="A426"/>
  <c r="B426"/>
  <c r="G426"/>
  <c r="A427"/>
  <c r="B427"/>
  <c r="G427"/>
  <c r="A428"/>
  <c r="B428"/>
  <c r="G428"/>
  <c r="A429"/>
  <c r="B429"/>
  <c r="G429"/>
  <c r="A430"/>
  <c r="B430"/>
  <c r="G430"/>
  <c r="A431"/>
  <c r="B431"/>
  <c r="G431"/>
  <c r="A432"/>
  <c r="B432"/>
  <c r="G432"/>
  <c r="A433"/>
  <c r="B433"/>
  <c r="G433"/>
  <c r="A434"/>
  <c r="B434"/>
  <c r="G434"/>
  <c r="A435"/>
  <c r="B435"/>
  <c r="G435"/>
  <c r="A436"/>
  <c r="B436"/>
  <c r="G436"/>
  <c r="A437"/>
  <c r="B437"/>
  <c r="G437"/>
  <c r="A438"/>
  <c r="B438"/>
  <c r="G438"/>
  <c r="A439"/>
  <c r="B439"/>
  <c r="G439"/>
  <c r="A440"/>
  <c r="B440"/>
  <c r="G440"/>
  <c r="A441"/>
  <c r="B441"/>
  <c r="G441"/>
  <c r="A442"/>
  <c r="B442"/>
  <c r="G442"/>
  <c r="A443"/>
  <c r="B443"/>
  <c r="G443"/>
  <c r="A444"/>
  <c r="B444"/>
  <c r="G444"/>
  <c r="A445"/>
  <c r="B445"/>
  <c r="G445"/>
  <c r="A446"/>
  <c r="B446"/>
  <c r="G446"/>
  <c r="A447"/>
  <c r="B447"/>
  <c r="G447"/>
  <c r="A448"/>
  <c r="B448"/>
  <c r="G448"/>
  <c r="A449"/>
  <c r="B449"/>
  <c r="G449"/>
  <c r="A450"/>
  <c r="B450"/>
  <c r="G450"/>
  <c r="A451"/>
  <c r="B451"/>
  <c r="G451"/>
  <c r="A452"/>
  <c r="B452"/>
  <c r="G452"/>
  <c r="A453"/>
  <c r="B453"/>
  <c r="G453"/>
  <c r="A454"/>
  <c r="B454"/>
  <c r="H454"/>
  <c r="A455"/>
  <c r="B455"/>
  <c r="G455"/>
  <c r="A456"/>
  <c r="B456"/>
  <c r="G456"/>
  <c r="A457"/>
  <c r="B457"/>
  <c r="G457"/>
  <c r="A458"/>
  <c r="B458"/>
  <c r="G458"/>
  <c r="A459"/>
  <c r="B459"/>
  <c r="G459"/>
  <c r="A460"/>
  <c r="B460"/>
  <c r="G460"/>
  <c r="A461"/>
  <c r="B461"/>
  <c r="G461"/>
  <c r="A462"/>
  <c r="B462"/>
  <c r="G462"/>
  <c r="A463"/>
  <c r="B463"/>
  <c r="G463"/>
  <c r="A464"/>
  <c r="B464"/>
  <c r="G464"/>
  <c r="A465"/>
  <c r="B465"/>
  <c r="G465"/>
  <c r="A466"/>
  <c r="B466"/>
  <c r="G466"/>
  <c r="A467"/>
  <c r="B467"/>
  <c r="G467"/>
  <c r="A468"/>
  <c r="B468"/>
  <c r="G468"/>
  <c r="A469"/>
  <c r="B469"/>
  <c r="G469"/>
  <c r="A470"/>
  <c r="B470"/>
  <c r="G470"/>
  <c r="A471"/>
  <c r="B471"/>
  <c r="G471"/>
  <c r="A472"/>
  <c r="B472"/>
  <c r="G472"/>
  <c r="A473"/>
  <c r="B473"/>
  <c r="G473"/>
  <c r="A474"/>
  <c r="B474"/>
  <c r="G474"/>
  <c r="A475"/>
  <c r="B475"/>
  <c r="G475"/>
  <c r="A476"/>
  <c r="B476"/>
  <c r="G476"/>
  <c r="A477"/>
  <c r="B477"/>
  <c r="G477"/>
  <c r="A478"/>
  <c r="B478"/>
  <c r="G478"/>
  <c r="A479"/>
  <c r="B479"/>
  <c r="G479"/>
  <c r="A480"/>
  <c r="B480"/>
  <c r="G480"/>
  <c r="A481"/>
  <c r="B481"/>
  <c r="G481"/>
  <c r="A482"/>
  <c r="B482"/>
  <c r="G482"/>
  <c r="A483"/>
  <c r="B483"/>
  <c r="G483"/>
  <c r="A484"/>
  <c r="B484"/>
  <c r="G484"/>
  <c r="A485"/>
  <c r="B485"/>
  <c r="G485"/>
  <c r="A486"/>
  <c r="B486"/>
  <c r="G486"/>
  <c r="A487"/>
  <c r="B487"/>
  <c r="G487"/>
  <c r="A488"/>
  <c r="B488"/>
  <c r="G488"/>
  <c r="A489"/>
  <c r="B489"/>
  <c r="G489"/>
  <c r="A490"/>
  <c r="B490"/>
  <c r="G490"/>
  <c r="A491"/>
  <c r="B491"/>
  <c r="G491"/>
  <c r="A492"/>
  <c r="B492"/>
  <c r="G492"/>
  <c r="A493"/>
  <c r="B493"/>
  <c r="G493"/>
  <c r="A494"/>
  <c r="B494"/>
  <c r="G494"/>
  <c r="A495"/>
  <c r="B495"/>
  <c r="G495"/>
  <c r="A496"/>
  <c r="B496"/>
  <c r="G496"/>
  <c r="A497"/>
  <c r="B497"/>
  <c r="G497"/>
  <c r="A498"/>
  <c r="B498"/>
  <c r="G498"/>
  <c r="A499"/>
  <c r="B499"/>
  <c r="G499"/>
  <c r="A500"/>
  <c r="B500"/>
  <c r="G500"/>
  <c r="A501"/>
  <c r="B501"/>
  <c r="G501"/>
  <c r="A502"/>
  <c r="B502"/>
  <c r="G502"/>
  <c r="A503"/>
  <c r="B503"/>
  <c r="G503"/>
  <c r="A504"/>
  <c r="B504"/>
  <c r="H504"/>
  <c r="A505"/>
  <c r="B505"/>
  <c r="G505"/>
  <c r="A506"/>
  <c r="B506"/>
  <c r="G506"/>
  <c r="A507"/>
  <c r="B507"/>
  <c r="G507"/>
  <c r="A508"/>
  <c r="B508"/>
  <c r="G508"/>
  <c r="A509"/>
  <c r="B509"/>
  <c r="G509"/>
  <c r="A510"/>
  <c r="B510"/>
  <c r="G510"/>
  <c r="A511"/>
  <c r="B511"/>
  <c r="G511"/>
  <c r="A512"/>
  <c r="B512"/>
  <c r="G512"/>
  <c r="A513"/>
  <c r="B513"/>
  <c r="G513"/>
  <c r="A514"/>
  <c r="B514"/>
  <c r="G514"/>
  <c r="A515"/>
  <c r="B515"/>
  <c r="G515"/>
  <c r="A516"/>
  <c r="B516"/>
  <c r="G516"/>
  <c r="A517"/>
  <c r="B517"/>
  <c r="G517"/>
  <c r="A518"/>
  <c r="B518"/>
  <c r="G518"/>
  <c r="A519"/>
  <c r="B519"/>
  <c r="G519"/>
  <c r="A520"/>
  <c r="B520"/>
  <c r="G520"/>
  <c r="A521"/>
  <c r="B521"/>
  <c r="G521"/>
  <c r="A522"/>
  <c r="B522"/>
  <c r="G522"/>
  <c r="A523"/>
  <c r="B523"/>
  <c r="G523"/>
  <c r="A524"/>
  <c r="B524"/>
  <c r="G524"/>
  <c r="A525"/>
  <c r="B525"/>
  <c r="G525"/>
  <c r="A526"/>
  <c r="B526"/>
  <c r="G526"/>
  <c r="A527"/>
  <c r="B527"/>
  <c r="G527"/>
  <c r="A528"/>
  <c r="B528"/>
  <c r="G528"/>
  <c r="A529"/>
  <c r="B529"/>
  <c r="G529"/>
  <c r="A530"/>
  <c r="B530"/>
  <c r="G530"/>
  <c r="A531"/>
  <c r="B531"/>
  <c r="G531"/>
  <c r="A532"/>
  <c r="B532"/>
  <c r="G532"/>
  <c r="A533"/>
  <c r="B533"/>
  <c r="G533"/>
  <c r="A534"/>
  <c r="B534"/>
  <c r="G534"/>
  <c r="A535"/>
  <c r="B535"/>
  <c r="G535"/>
  <c r="A536"/>
  <c r="B536"/>
  <c r="G536"/>
  <c r="A537"/>
  <c r="B537"/>
  <c r="G537"/>
  <c r="A538"/>
  <c r="B538"/>
  <c r="G538"/>
  <c r="A539"/>
  <c r="B539"/>
  <c r="G539"/>
  <c r="A540"/>
  <c r="B540"/>
  <c r="G540"/>
  <c r="A541"/>
  <c r="B541"/>
  <c r="G541"/>
  <c r="A542"/>
  <c r="B542"/>
  <c r="G542"/>
  <c r="A543"/>
  <c r="B543"/>
  <c r="G543"/>
  <c r="A544"/>
  <c r="B544"/>
  <c r="G544"/>
  <c r="A545"/>
  <c r="B545"/>
  <c r="G545"/>
  <c r="A546"/>
  <c r="B546"/>
  <c r="G546"/>
  <c r="A547"/>
  <c r="B547"/>
  <c r="G547"/>
  <c r="A548"/>
  <c r="B548"/>
  <c r="G548"/>
  <c r="A549"/>
  <c r="B549"/>
  <c r="G549"/>
  <c r="A550"/>
  <c r="B550"/>
  <c r="G550"/>
  <c r="A551"/>
  <c r="B551"/>
  <c r="G551"/>
  <c r="A552"/>
  <c r="B552"/>
  <c r="G552"/>
  <c r="A553"/>
  <c r="B553"/>
  <c r="G553"/>
  <c r="A554"/>
  <c r="B554"/>
  <c r="G554"/>
  <c r="A555"/>
  <c r="B555"/>
  <c r="G555"/>
  <c r="A556"/>
  <c r="B556"/>
  <c r="G556"/>
  <c r="A557"/>
  <c r="B557"/>
  <c r="G557"/>
  <c r="A558"/>
  <c r="B558"/>
  <c r="G558"/>
  <c r="A559"/>
  <c r="B559"/>
  <c r="G559"/>
  <c r="A560"/>
  <c r="B560"/>
  <c r="G560"/>
  <c r="A561"/>
  <c r="B561"/>
  <c r="G561"/>
  <c r="A562"/>
  <c r="B562"/>
  <c r="G562"/>
  <c r="A563"/>
  <c r="B563"/>
  <c r="G563"/>
  <c r="A564"/>
  <c r="B564"/>
  <c r="G564"/>
  <c r="A565"/>
  <c r="B565"/>
  <c r="G565"/>
  <c r="A566"/>
  <c r="B566"/>
  <c r="H566"/>
  <c r="A567"/>
  <c r="B567"/>
  <c r="G567"/>
  <c r="A568"/>
  <c r="B568"/>
  <c r="G568"/>
  <c r="A569"/>
  <c r="B569"/>
  <c r="G569"/>
  <c r="A570"/>
  <c r="B570"/>
  <c r="G570"/>
  <c r="A571"/>
  <c r="B571"/>
  <c r="G571"/>
  <c r="A572"/>
  <c r="B572"/>
  <c r="G572"/>
  <c r="A573"/>
  <c r="B573"/>
  <c r="G573"/>
  <c r="A574"/>
  <c r="B574"/>
  <c r="G574"/>
  <c r="A575"/>
  <c r="B575"/>
  <c r="G575"/>
  <c r="A576"/>
  <c r="B576"/>
  <c r="G576"/>
  <c r="A577"/>
  <c r="B577"/>
  <c r="G577"/>
  <c r="A578"/>
  <c r="B578"/>
  <c r="G578"/>
  <c r="A579"/>
  <c r="B579"/>
  <c r="G579"/>
  <c r="A580"/>
  <c r="B580"/>
  <c r="G580"/>
  <c r="A581"/>
  <c r="B581"/>
  <c r="G581"/>
  <c r="A582"/>
  <c r="B582"/>
  <c r="G582"/>
  <c r="A583"/>
  <c r="B583"/>
  <c r="G583"/>
  <c r="A584"/>
  <c r="B584"/>
  <c r="G584"/>
  <c r="A585"/>
  <c r="B585"/>
  <c r="G585"/>
  <c r="A586"/>
  <c r="B586"/>
  <c r="G586"/>
  <c r="A587"/>
  <c r="B587"/>
  <c r="G587"/>
  <c r="A588"/>
  <c r="B588"/>
  <c r="G588"/>
  <c r="A589"/>
  <c r="B589"/>
  <c r="G589"/>
  <c r="A590"/>
  <c r="B590"/>
  <c r="G590"/>
  <c r="A591"/>
  <c r="B591"/>
  <c r="G591"/>
  <c r="A592"/>
  <c r="B592"/>
  <c r="G592"/>
  <c r="A593"/>
  <c r="B593"/>
  <c r="G593"/>
  <c r="A594"/>
  <c r="B594"/>
  <c r="G594"/>
  <c r="A595"/>
  <c r="B595"/>
  <c r="G595"/>
  <c r="A596"/>
  <c r="B596"/>
  <c r="G596"/>
  <c r="A597"/>
  <c r="B597"/>
  <c r="G597"/>
  <c r="A598"/>
  <c r="B598"/>
  <c r="G598"/>
  <c r="A599"/>
  <c r="B599"/>
  <c r="G599"/>
  <c r="A600"/>
  <c r="B600"/>
  <c r="G600"/>
  <c r="A601"/>
  <c r="B601"/>
  <c r="G601"/>
  <c r="A602"/>
  <c r="B602"/>
  <c r="G602"/>
  <c r="A603"/>
  <c r="B603"/>
  <c r="G603"/>
  <c r="A604"/>
  <c r="B604"/>
  <c r="G604"/>
  <c r="A605"/>
  <c r="B605"/>
  <c r="G605"/>
  <c r="A606"/>
  <c r="B606"/>
  <c r="G606"/>
  <c r="A607"/>
  <c r="B607"/>
  <c r="G607"/>
  <c r="A608"/>
  <c r="B608"/>
  <c r="G608"/>
  <c r="A609"/>
  <c r="B609"/>
  <c r="G609"/>
  <c r="A610"/>
  <c r="B610"/>
  <c r="G610"/>
  <c r="A611"/>
  <c r="B611"/>
  <c r="G611"/>
  <c r="A612"/>
  <c r="B612"/>
  <c r="G612"/>
  <c r="A613"/>
  <c r="B613"/>
  <c r="G613"/>
  <c r="A614"/>
  <c r="B614"/>
  <c r="G614"/>
  <c r="A615"/>
  <c r="B615"/>
  <c r="G615"/>
  <c r="A616"/>
  <c r="B616"/>
  <c r="G616"/>
  <c r="A617"/>
  <c r="B617"/>
  <c r="G617"/>
  <c r="A618"/>
  <c r="B618"/>
  <c r="G618"/>
  <c r="A619"/>
  <c r="B619"/>
  <c r="G619"/>
  <c r="A620"/>
  <c r="B620"/>
  <c r="G620"/>
  <c r="A621"/>
  <c r="B621"/>
  <c r="G621"/>
  <c r="A622"/>
  <c r="B622"/>
  <c r="G622"/>
  <c r="A623"/>
  <c r="B623"/>
  <c r="G623"/>
  <c r="A624"/>
  <c r="B624"/>
  <c r="G624"/>
  <c r="A625"/>
  <c r="B625"/>
  <c r="G625"/>
  <c r="A626"/>
  <c r="B626"/>
  <c r="G626"/>
  <c r="A627"/>
  <c r="B627"/>
  <c r="G627"/>
  <c r="A628"/>
  <c r="B628"/>
  <c r="G628"/>
  <c r="A629"/>
  <c r="B629"/>
  <c r="G629"/>
  <c r="A630"/>
  <c r="B630"/>
  <c r="G630"/>
  <c r="A631"/>
  <c r="B631"/>
  <c r="G631"/>
  <c r="A632"/>
  <c r="B632"/>
  <c r="G632"/>
  <c r="A633"/>
  <c r="B633"/>
  <c r="G633"/>
  <c r="A634"/>
  <c r="B634"/>
  <c r="G634"/>
  <c r="A635"/>
  <c r="B635"/>
  <c r="G635"/>
  <c r="A636"/>
  <c r="B636"/>
  <c r="G636"/>
  <c r="A637"/>
  <c r="B637"/>
  <c r="G637"/>
  <c r="A638"/>
  <c r="B638"/>
  <c r="G638"/>
  <c r="A639"/>
  <c r="B639"/>
  <c r="G639"/>
  <c r="A640"/>
  <c r="B640"/>
  <c r="G640"/>
  <c r="A641"/>
  <c r="B641"/>
  <c r="G641"/>
  <c r="A642"/>
  <c r="B642"/>
  <c r="G642"/>
  <c r="A643"/>
  <c r="B643"/>
  <c r="G643"/>
  <c r="A644"/>
  <c r="B644"/>
  <c r="G644"/>
  <c r="A645"/>
  <c r="B645"/>
  <c r="G645"/>
  <c r="A646"/>
  <c r="B646"/>
  <c r="G646"/>
  <c r="A647"/>
  <c r="B647"/>
  <c r="G647"/>
  <c r="A648"/>
  <c r="B648"/>
  <c r="G648"/>
  <c r="A649"/>
  <c r="B649"/>
  <c r="G649"/>
  <c r="A650"/>
  <c r="B650"/>
  <c r="G650"/>
  <c r="A651"/>
  <c r="B651"/>
  <c r="G651"/>
  <c r="A652"/>
  <c r="B652"/>
  <c r="G652"/>
  <c r="A653"/>
  <c r="B653"/>
  <c r="G653"/>
  <c r="A654"/>
  <c r="B654"/>
  <c r="G654"/>
  <c r="A655"/>
  <c r="B655"/>
  <c r="G655"/>
  <c r="A656"/>
  <c r="B656"/>
  <c r="G656"/>
  <c r="A657"/>
  <c r="B657"/>
  <c r="G657"/>
  <c r="A658"/>
  <c r="B658"/>
  <c r="G658"/>
  <c r="A659"/>
  <c r="B659"/>
  <c r="G659"/>
  <c r="A660"/>
  <c r="B660"/>
  <c r="G660"/>
  <c r="A661"/>
  <c r="B661"/>
  <c r="G661"/>
  <c r="A662"/>
  <c r="B662"/>
  <c r="G662"/>
  <c r="A663"/>
  <c r="B663"/>
  <c r="G663"/>
  <c r="A664"/>
  <c r="B664"/>
  <c r="G664"/>
  <c r="A665"/>
  <c r="B665"/>
  <c r="G665"/>
  <c r="A666"/>
  <c r="B666"/>
  <c r="G666"/>
  <c r="A667"/>
  <c r="B667"/>
  <c r="G667"/>
  <c r="A668"/>
  <c r="B668"/>
  <c r="G668"/>
  <c r="A669"/>
  <c r="B669"/>
  <c r="G669"/>
  <c r="A670"/>
  <c r="B670"/>
  <c r="G670"/>
  <c r="A671"/>
  <c r="B671"/>
  <c r="G671"/>
  <c r="A672"/>
  <c r="B672"/>
  <c r="G672"/>
  <c r="A673"/>
  <c r="B673"/>
  <c r="G673"/>
  <c r="A674"/>
  <c r="B674"/>
  <c r="G674"/>
  <c r="A675"/>
  <c r="B675"/>
  <c r="G675"/>
  <c r="A676"/>
  <c r="B676"/>
  <c r="G676"/>
  <c r="A677"/>
  <c r="B677"/>
  <c r="G677"/>
  <c r="A678"/>
  <c r="B678"/>
  <c r="G678"/>
  <c r="A679"/>
  <c r="B679"/>
  <c r="G679"/>
  <c r="A680"/>
  <c r="B680"/>
  <c r="G680"/>
  <c r="A681"/>
  <c r="B681"/>
  <c r="G681"/>
  <c r="A682"/>
  <c r="B682"/>
  <c r="G682"/>
  <c r="A683"/>
  <c r="B683"/>
  <c r="G683"/>
  <c r="A684"/>
  <c r="B684"/>
  <c r="G684"/>
  <c r="A685"/>
  <c r="B685"/>
  <c r="G685"/>
  <c r="A686"/>
  <c r="B686"/>
  <c r="G686"/>
  <c r="A687"/>
  <c r="B687"/>
  <c r="G687"/>
  <c r="A688"/>
  <c r="B688"/>
  <c r="G688"/>
  <c r="A689"/>
  <c r="B689"/>
  <c r="G689"/>
  <c r="A690"/>
  <c r="B690"/>
  <c r="G690"/>
  <c r="A691"/>
  <c r="B691"/>
  <c r="G691"/>
  <c r="A692"/>
  <c r="B692"/>
  <c r="G692"/>
  <c r="A693"/>
  <c r="B693"/>
  <c r="G693"/>
  <c r="A694"/>
  <c r="B694"/>
  <c r="G694"/>
  <c r="A695"/>
  <c r="B695"/>
  <c r="G695"/>
  <c r="A696"/>
  <c r="B696"/>
  <c r="G696"/>
  <c r="A697"/>
  <c r="B697"/>
  <c r="G697"/>
  <c r="A698"/>
  <c r="B698"/>
  <c r="G698"/>
  <c r="A699"/>
  <c r="B699"/>
  <c r="G699"/>
  <c r="A700"/>
  <c r="B700"/>
  <c r="G700"/>
  <c r="A701"/>
  <c r="B701"/>
  <c r="G701"/>
  <c r="A702"/>
  <c r="B702"/>
  <c r="G702"/>
  <c r="A703"/>
  <c r="B703"/>
  <c r="G703"/>
  <c r="A704"/>
  <c r="B704"/>
  <c r="G704"/>
  <c r="A705"/>
  <c r="B705"/>
  <c r="G705"/>
  <c r="A706"/>
  <c r="B706"/>
  <c r="G706"/>
  <c r="A707"/>
  <c r="B707"/>
  <c r="G707"/>
  <c r="A708"/>
  <c r="B708"/>
  <c r="G708"/>
  <c r="A709"/>
  <c r="B709"/>
  <c r="G709"/>
  <c r="A710"/>
  <c r="B710"/>
  <c r="G710"/>
  <c r="A711"/>
  <c r="B711"/>
  <c r="G711"/>
  <c r="A712"/>
  <c r="B712"/>
  <c r="G712"/>
  <c r="A713"/>
  <c r="B713"/>
  <c r="G713"/>
  <c r="A714"/>
  <c r="B714"/>
  <c r="G714"/>
  <c r="A715"/>
  <c r="B715"/>
  <c r="G715"/>
  <c r="A716"/>
  <c r="B716"/>
  <c r="G716"/>
  <c r="A717"/>
  <c r="B717"/>
  <c r="G717"/>
  <c r="A718"/>
  <c r="B718"/>
  <c r="G718"/>
  <c r="A719"/>
  <c r="B719"/>
  <c r="G719"/>
  <c r="A720"/>
  <c r="B720"/>
  <c r="G720"/>
  <c r="A721"/>
  <c r="B721"/>
  <c r="G721"/>
  <c r="A722"/>
  <c r="B722"/>
  <c r="G722"/>
  <c r="A723"/>
  <c r="B723"/>
  <c r="G723"/>
  <c r="A724"/>
  <c r="B724"/>
  <c r="G724"/>
  <c r="A725"/>
  <c r="B725"/>
  <c r="G725"/>
  <c r="A726"/>
  <c r="B726"/>
  <c r="G726"/>
  <c r="A727"/>
  <c r="B727"/>
  <c r="G727"/>
  <c r="A728"/>
  <c r="B728"/>
  <c r="G728"/>
  <c r="A729"/>
  <c r="B729"/>
  <c r="G729"/>
  <c r="A730"/>
  <c r="B730"/>
  <c r="G730"/>
  <c r="A731"/>
  <c r="B731"/>
  <c r="G731"/>
  <c r="A732"/>
  <c r="B732"/>
  <c r="G732"/>
  <c r="A733"/>
  <c r="B733"/>
  <c r="G733"/>
  <c r="A734"/>
  <c r="B734"/>
  <c r="G734"/>
  <c r="A735"/>
  <c r="B735"/>
  <c r="G735"/>
  <c r="A736"/>
  <c r="B736"/>
  <c r="G736"/>
  <c r="A737"/>
  <c r="B737"/>
  <c r="G737"/>
  <c r="A738"/>
  <c r="B738"/>
  <c r="G738"/>
  <c r="A739"/>
  <c r="B739"/>
  <c r="G739"/>
  <c r="A740"/>
  <c r="B740"/>
  <c r="G740"/>
  <c r="A741"/>
  <c r="B741"/>
  <c r="G741"/>
  <c r="A742"/>
  <c r="B742"/>
  <c r="G742"/>
  <c r="A743"/>
  <c r="B743"/>
  <c r="G743"/>
  <c r="A744"/>
  <c r="B744"/>
  <c r="G744"/>
  <c r="A745"/>
  <c r="B745"/>
  <c r="G745"/>
  <c r="A746"/>
  <c r="B746"/>
  <c r="G746"/>
  <c r="A747"/>
  <c r="B747"/>
  <c r="G747"/>
  <c r="A748"/>
  <c r="B748"/>
  <c r="G748"/>
  <c r="A749"/>
  <c r="B749"/>
  <c r="G749"/>
  <c r="A750"/>
  <c r="B750"/>
  <c r="G750"/>
  <c r="A751"/>
  <c r="B751"/>
  <c r="G751"/>
  <c r="A752"/>
  <c r="B752"/>
  <c r="G752"/>
  <c r="A753"/>
  <c r="B753"/>
  <c r="G753"/>
  <c r="A754"/>
  <c r="B754"/>
  <c r="G754"/>
  <c r="A755"/>
  <c r="B755"/>
  <c r="G755"/>
  <c r="A756"/>
  <c r="B756"/>
  <c r="G756"/>
  <c r="A757"/>
  <c r="B757"/>
  <c r="G757"/>
  <c r="A758"/>
  <c r="B758"/>
  <c r="G758"/>
  <c r="A759"/>
  <c r="B759"/>
  <c r="G759"/>
  <c r="A760"/>
  <c r="B760"/>
  <c r="G760"/>
  <c r="A761"/>
  <c r="B761"/>
  <c r="G761"/>
  <c r="A762"/>
  <c r="B762"/>
  <c r="G762"/>
  <c r="A763"/>
  <c r="B763"/>
  <c r="G763"/>
  <c r="A764"/>
  <c r="B764"/>
  <c r="G764"/>
  <c r="A765"/>
  <c r="B765"/>
  <c r="G765"/>
  <c r="A766"/>
  <c r="B766"/>
  <c r="G766"/>
  <c r="A767"/>
  <c r="B767"/>
  <c r="G767"/>
  <c r="A768"/>
  <c r="B768"/>
  <c r="G768"/>
  <c r="A769"/>
  <c r="B769"/>
  <c r="G769"/>
  <c r="A770"/>
  <c r="B770"/>
  <c r="G770"/>
  <c r="A771"/>
  <c r="B771"/>
  <c r="G771"/>
  <c r="A772"/>
  <c r="B772"/>
  <c r="G772"/>
  <c r="A773"/>
  <c r="B773"/>
  <c r="G773"/>
  <c r="A774"/>
  <c r="B774"/>
  <c r="G774"/>
  <c r="A775"/>
  <c r="B775"/>
  <c r="G775"/>
  <c r="A776"/>
  <c r="B776"/>
  <c r="G776"/>
  <c r="A777"/>
  <c r="B777"/>
  <c r="G777"/>
  <c r="A778"/>
  <c r="B778"/>
  <c r="G778"/>
  <c r="A779"/>
  <c r="B779"/>
  <c r="G779"/>
  <c r="A780"/>
  <c r="B780"/>
  <c r="G780"/>
  <c r="A781"/>
  <c r="B781"/>
  <c r="G781"/>
  <c r="A782"/>
  <c r="B782"/>
  <c r="G782"/>
  <c r="A783"/>
  <c r="B783"/>
  <c r="G783"/>
  <c r="A784"/>
  <c r="B784"/>
  <c r="G784"/>
  <c r="A785"/>
  <c r="B785"/>
  <c r="G785"/>
  <c r="A786"/>
  <c r="B786"/>
  <c r="G786"/>
  <c r="A787"/>
  <c r="B787"/>
  <c r="G787"/>
  <c r="A788"/>
  <c r="B788"/>
  <c r="G788"/>
  <c r="A789"/>
  <c r="B789"/>
  <c r="G789"/>
  <c r="A790"/>
  <c r="B790"/>
  <c r="G790"/>
  <c r="A791"/>
  <c r="B791"/>
  <c r="G791"/>
  <c r="A792"/>
  <c r="B792"/>
  <c r="G792"/>
  <c r="A793"/>
  <c r="B793"/>
  <c r="G793"/>
  <c r="A794"/>
  <c r="B794"/>
  <c r="G794"/>
  <c r="A795"/>
  <c r="B795"/>
  <c r="G795"/>
  <c r="A796"/>
  <c r="B796"/>
  <c r="G796"/>
  <c r="A797"/>
  <c r="B797"/>
  <c r="G797"/>
  <c r="A798"/>
  <c r="B798"/>
  <c r="G798"/>
  <c r="A799"/>
  <c r="B799"/>
  <c r="G799"/>
  <c r="A800"/>
  <c r="B800"/>
  <c r="G800"/>
  <c r="A801"/>
  <c r="B801"/>
  <c r="G801"/>
  <c r="A802"/>
  <c r="B802"/>
  <c r="A803"/>
  <c r="B803"/>
  <c r="G803"/>
  <c r="A804"/>
  <c r="B804"/>
  <c r="G804"/>
  <c r="A805"/>
  <c r="B805"/>
  <c r="G805"/>
  <c r="A806"/>
  <c r="B806"/>
  <c r="G806"/>
  <c r="A807"/>
  <c r="B807"/>
  <c r="G807"/>
  <c r="A808"/>
  <c r="B808"/>
  <c r="G808"/>
  <c r="A809"/>
  <c r="B809"/>
  <c r="G809"/>
  <c r="A810"/>
  <c r="B810"/>
  <c r="G810"/>
  <c r="A811"/>
  <c r="B811"/>
  <c r="G811"/>
  <c r="A812"/>
  <c r="B812"/>
  <c r="G812"/>
  <c r="A813"/>
  <c r="B813"/>
  <c r="G813"/>
  <c r="A814"/>
  <c r="B814"/>
  <c r="G814"/>
  <c r="A815"/>
  <c r="B815"/>
  <c r="A816"/>
  <c r="B816"/>
  <c r="G816"/>
  <c r="A817"/>
  <c r="B817"/>
  <c r="G817"/>
  <c r="A818"/>
  <c r="B818"/>
  <c r="G818"/>
  <c r="A819"/>
  <c r="B819"/>
  <c r="G819"/>
  <c r="A820"/>
  <c r="B820"/>
  <c r="G820"/>
  <c r="A821"/>
  <c r="B821"/>
  <c r="G821"/>
  <c r="A822"/>
  <c r="B822"/>
  <c r="G822"/>
  <c r="A823"/>
  <c r="B823"/>
  <c r="G823"/>
  <c r="A824"/>
  <c r="B824"/>
  <c r="A825"/>
  <c r="B825"/>
  <c r="G825"/>
  <c r="A826"/>
  <c r="B826"/>
  <c r="G826"/>
  <c r="A827"/>
  <c r="B827"/>
  <c r="G827"/>
  <c r="A828"/>
  <c r="B828"/>
  <c r="G828"/>
  <c r="A829"/>
  <c r="B829"/>
  <c r="G829"/>
  <c r="A830"/>
  <c r="B830"/>
  <c r="G830"/>
  <c r="A831"/>
  <c r="B831"/>
  <c r="G831"/>
  <c r="A832"/>
  <c r="B832"/>
  <c r="G832"/>
  <c r="A833"/>
  <c r="B833"/>
  <c r="G833"/>
  <c r="A834"/>
  <c r="B834"/>
  <c r="G834"/>
  <c r="A835"/>
  <c r="B835"/>
  <c r="G835"/>
  <c r="A836"/>
  <c r="B836"/>
  <c r="G836"/>
  <c r="A837"/>
  <c r="B837"/>
  <c r="G837"/>
  <c r="A838"/>
  <c r="B838"/>
  <c r="G838"/>
  <c r="A839"/>
  <c r="B839"/>
  <c r="G839"/>
  <c r="A840"/>
  <c r="B840"/>
  <c r="G840"/>
  <c r="A841"/>
  <c r="B841"/>
  <c r="A842"/>
  <c r="B842"/>
  <c r="G842"/>
  <c r="A843"/>
  <c r="B843"/>
  <c r="G843"/>
  <c r="A844"/>
  <c r="B844"/>
  <c r="G844"/>
  <c r="A845"/>
  <c r="B845"/>
  <c r="G845"/>
  <c r="A846"/>
  <c r="B846"/>
  <c r="G846"/>
  <c r="A847"/>
  <c r="B847"/>
  <c r="G847"/>
  <c r="A848"/>
  <c r="B848"/>
  <c r="G848"/>
  <c r="A849"/>
  <c r="B849"/>
  <c r="G849"/>
  <c r="A850"/>
  <c r="B850"/>
  <c r="G850"/>
  <c r="A851"/>
  <c r="B851"/>
  <c r="G851"/>
  <c r="A852"/>
  <c r="B852"/>
  <c r="G852"/>
  <c r="A853"/>
  <c r="B853"/>
  <c r="G853"/>
  <c r="A854"/>
  <c r="B854"/>
  <c r="G854"/>
  <c r="A855"/>
  <c r="B855"/>
  <c r="G855"/>
  <c r="A856"/>
  <c r="B856"/>
  <c r="G856"/>
  <c r="A857"/>
  <c r="B857"/>
  <c r="G857"/>
  <c r="A858"/>
  <c r="B858"/>
  <c r="G858"/>
  <c r="A859"/>
  <c r="B859"/>
  <c r="G859"/>
  <c r="A860"/>
  <c r="B860"/>
  <c r="G860"/>
  <c r="A861"/>
  <c r="B861"/>
  <c r="G861"/>
  <c r="A862"/>
  <c r="B862"/>
  <c r="G862"/>
  <c r="A863"/>
  <c r="B863"/>
  <c r="G863"/>
  <c r="A864"/>
  <c r="B864"/>
  <c r="G864"/>
  <c r="A865"/>
  <c r="B865"/>
  <c r="G865"/>
  <c r="A866"/>
  <c r="B866"/>
  <c r="G866"/>
  <c r="A867"/>
  <c r="B867"/>
  <c r="G867"/>
  <c r="A868"/>
  <c r="B868"/>
  <c r="G868"/>
  <c r="A869"/>
  <c r="B869"/>
  <c r="G869"/>
  <c r="A870"/>
  <c r="B870"/>
  <c r="G870"/>
  <c r="A871"/>
  <c r="B871"/>
  <c r="G871"/>
  <c r="A872"/>
  <c r="B872"/>
  <c r="G872"/>
  <c r="A873"/>
  <c r="B873"/>
  <c r="G873"/>
  <c r="A874"/>
  <c r="B874"/>
  <c r="G874"/>
  <c r="A875"/>
  <c r="B875"/>
  <c r="G875"/>
  <c r="A876"/>
  <c r="B876"/>
  <c r="G876"/>
  <c r="A877"/>
  <c r="B877"/>
  <c r="G877"/>
  <c r="A878"/>
  <c r="B878"/>
  <c r="G878"/>
  <c r="A879"/>
  <c r="B879"/>
  <c r="G879"/>
  <c r="A880"/>
  <c r="B880"/>
  <c r="G880"/>
  <c r="A881"/>
  <c r="B881"/>
  <c r="G881"/>
  <c r="A882"/>
  <c r="B882"/>
  <c r="G882"/>
  <c r="A883"/>
  <c r="B883"/>
  <c r="G883"/>
  <c r="A884"/>
  <c r="B884"/>
  <c r="G884"/>
  <c r="A885"/>
  <c r="B885"/>
  <c r="G885"/>
  <c r="A886"/>
  <c r="B886"/>
  <c r="A887"/>
  <c r="B887"/>
  <c r="A888"/>
  <c r="B888"/>
  <c r="G888"/>
  <c r="A889"/>
  <c r="B889"/>
  <c r="G889"/>
  <c r="A890"/>
  <c r="B890"/>
  <c r="G890"/>
  <c r="A891"/>
  <c r="B891"/>
  <c r="G891"/>
  <c r="A892"/>
  <c r="B892"/>
  <c r="G892"/>
  <c r="A893"/>
  <c r="B893"/>
  <c r="G893"/>
  <c r="A894"/>
  <c r="B894"/>
  <c r="G894"/>
  <c r="A895"/>
  <c r="B895"/>
  <c r="A896"/>
  <c r="B896"/>
  <c r="G896"/>
  <c r="A897"/>
  <c r="B897"/>
  <c r="A898"/>
  <c r="B898"/>
  <c r="G898"/>
  <c r="A899"/>
  <c r="B899"/>
  <c r="G899"/>
  <c r="A900"/>
  <c r="B900"/>
  <c r="G900"/>
  <c r="A901"/>
  <c r="B901"/>
  <c r="A902"/>
  <c r="B902"/>
  <c r="G902"/>
  <c r="A903"/>
  <c r="B903"/>
  <c r="A904"/>
  <c r="B904"/>
  <c r="G904"/>
  <c r="A905"/>
  <c r="B905"/>
  <c r="G905"/>
  <c r="A906"/>
  <c r="B906"/>
  <c r="G906"/>
  <c r="A907"/>
  <c r="B907"/>
  <c r="G907"/>
  <c r="A908"/>
  <c r="B908"/>
  <c r="G908"/>
  <c r="A909"/>
  <c r="B909"/>
  <c r="G909"/>
  <c r="A910"/>
  <c r="B910"/>
  <c r="G910"/>
  <c r="A911"/>
  <c r="B911"/>
  <c r="G911"/>
  <c r="A912"/>
  <c r="B912"/>
  <c r="G912"/>
  <c r="A913"/>
  <c r="B913"/>
  <c r="G913"/>
  <c r="A914"/>
  <c r="B914"/>
  <c r="G914"/>
  <c r="A915"/>
  <c r="B915"/>
  <c r="G915"/>
  <c r="A916"/>
  <c r="B916"/>
  <c r="G916"/>
  <c r="A917"/>
  <c r="B917"/>
  <c r="G917"/>
  <c r="A918"/>
  <c r="B918"/>
  <c r="G918"/>
  <c r="A919"/>
  <c r="B919"/>
  <c r="G919"/>
  <c r="A920"/>
  <c r="B920"/>
  <c r="G920"/>
  <c r="A921"/>
  <c r="B921"/>
  <c r="G921"/>
  <c r="A922"/>
  <c r="B922"/>
  <c r="A923"/>
  <c r="B923"/>
  <c r="G923"/>
  <c r="A924"/>
  <c r="B924"/>
  <c r="G924"/>
  <c r="A925"/>
  <c r="B925"/>
  <c r="G925"/>
  <c r="A926"/>
  <c r="B926"/>
  <c r="G926"/>
  <c r="A927"/>
  <c r="B927"/>
  <c r="G927"/>
  <c r="A928"/>
  <c r="B928"/>
  <c r="A929"/>
  <c r="B929"/>
  <c r="G929"/>
  <c r="A930"/>
  <c r="B930"/>
  <c r="G930"/>
  <c r="A931"/>
  <c r="B931"/>
  <c r="G931"/>
  <c r="A932"/>
  <c r="B932"/>
  <c r="G932"/>
  <c r="A933"/>
  <c r="B933"/>
  <c r="G933"/>
  <c r="A934"/>
  <c r="B934"/>
  <c r="G934"/>
  <c r="A935"/>
  <c r="B935"/>
  <c r="G935"/>
  <c r="A936"/>
  <c r="B936"/>
  <c r="G936"/>
  <c r="A937"/>
  <c r="B937"/>
  <c r="G937"/>
  <c r="A938"/>
  <c r="B938"/>
  <c r="A939"/>
  <c r="B939"/>
  <c r="G939"/>
  <c r="A940"/>
  <c r="B940"/>
  <c r="G940"/>
  <c r="A941"/>
  <c r="B941"/>
  <c r="G941"/>
  <c r="A942"/>
  <c r="B942"/>
  <c r="G942"/>
  <c r="A943"/>
  <c r="B943"/>
  <c r="G943"/>
  <c r="A944"/>
  <c r="B944"/>
  <c r="A945"/>
  <c r="B945"/>
  <c r="G945"/>
  <c r="A946"/>
  <c r="B946"/>
  <c r="G946"/>
  <c r="A947"/>
  <c r="B947"/>
  <c r="G947"/>
  <c r="A948"/>
  <c r="B948"/>
  <c r="G948"/>
  <c r="A949"/>
  <c r="B949"/>
  <c r="G949"/>
  <c r="A950"/>
  <c r="B950"/>
  <c r="G950"/>
  <c r="A951"/>
  <c r="B951"/>
  <c r="G951"/>
  <c r="A952"/>
  <c r="B952"/>
  <c r="G952"/>
  <c r="A953"/>
  <c r="B953"/>
  <c r="G953"/>
  <c r="A954"/>
  <c r="B954"/>
  <c r="G954"/>
  <c r="A955"/>
  <c r="B955"/>
  <c r="G955"/>
  <c r="A956"/>
  <c r="B956"/>
  <c r="G956"/>
  <c r="A957"/>
  <c r="B957"/>
  <c r="A958"/>
  <c r="B958"/>
  <c r="G958"/>
  <c r="A959"/>
  <c r="B959"/>
  <c r="G959"/>
  <c r="A960"/>
  <c r="B960"/>
  <c r="G960"/>
  <c r="A961"/>
  <c r="B961"/>
  <c r="G961"/>
  <c r="A962"/>
  <c r="B962"/>
  <c r="G962"/>
  <c r="A963"/>
  <c r="B963"/>
  <c r="G963"/>
  <c r="A964"/>
  <c r="B964"/>
  <c r="G964"/>
  <c r="A965"/>
  <c r="B965"/>
  <c r="G965"/>
  <c r="A966"/>
  <c r="B966"/>
  <c r="A967"/>
  <c r="B967"/>
  <c r="G967"/>
  <c r="A968"/>
  <c r="B968"/>
  <c r="G968"/>
  <c r="A969"/>
  <c r="B969"/>
  <c r="G969"/>
  <c r="A970"/>
  <c r="B970"/>
  <c r="G970"/>
  <c r="A971"/>
  <c r="B971"/>
  <c r="G971"/>
  <c r="A972"/>
  <c r="B972"/>
  <c r="G972"/>
  <c r="A973"/>
  <c r="B973"/>
  <c r="G973"/>
  <c r="A974"/>
  <c r="B974"/>
  <c r="G974"/>
  <c r="A975"/>
  <c r="B975"/>
  <c r="A976"/>
  <c r="B976"/>
  <c r="G976"/>
  <c r="A977"/>
  <c r="B977"/>
  <c r="G977"/>
  <c r="A978"/>
  <c r="B978"/>
  <c r="G978"/>
  <c r="A979"/>
  <c r="B979"/>
  <c r="A980"/>
  <c r="B980"/>
  <c r="G980"/>
  <c r="A981"/>
  <c r="B981"/>
  <c r="G981"/>
  <c r="A982"/>
  <c r="B982"/>
  <c r="G982"/>
  <c r="A983"/>
  <c r="B983"/>
  <c r="G983"/>
  <c r="A984"/>
  <c r="B984"/>
  <c r="G984"/>
  <c r="A985"/>
  <c r="B985"/>
  <c r="G985"/>
  <c r="A986"/>
  <c r="B986"/>
  <c r="A987"/>
  <c r="B987"/>
  <c r="G987"/>
  <c r="A988"/>
  <c r="B988"/>
  <c r="G988"/>
  <c r="A989"/>
  <c r="B989"/>
  <c r="G989"/>
  <c r="A990"/>
  <c r="B990"/>
  <c r="G990"/>
  <c r="A991"/>
  <c r="B991"/>
  <c r="G991"/>
  <c r="A992"/>
  <c r="B992"/>
  <c r="G992"/>
  <c r="A993"/>
  <c r="B993"/>
  <c r="G993"/>
  <c r="A994"/>
  <c r="B994"/>
  <c r="G994"/>
  <c r="A995"/>
  <c r="B995"/>
  <c r="G995"/>
  <c r="A996"/>
  <c r="B996"/>
  <c r="G996"/>
  <c r="A997"/>
  <c r="B997"/>
  <c r="G997"/>
  <c r="A998"/>
  <c r="B998"/>
  <c r="G998"/>
  <c r="A999"/>
  <c r="B999"/>
  <c r="G999"/>
  <c r="A1000"/>
  <c r="B1000"/>
  <c r="G1000"/>
  <c r="A1001"/>
  <c r="B1001"/>
  <c r="G1001"/>
  <c r="A1002"/>
  <c r="B1002"/>
  <c r="G1002"/>
  <c r="A1003"/>
  <c r="B1003"/>
  <c r="G1003"/>
  <c r="A1004"/>
  <c r="B1004"/>
  <c r="G1004"/>
  <c r="A1005"/>
  <c r="B1005"/>
  <c r="G1005"/>
  <c r="A1006"/>
  <c r="B1006"/>
  <c r="G1006"/>
  <c r="A1007"/>
  <c r="B1007"/>
  <c r="G1007"/>
  <c r="A1008"/>
  <c r="B1008"/>
  <c r="G1008"/>
  <c r="A1009"/>
  <c r="B1009"/>
  <c r="G1009"/>
  <c r="A1010"/>
  <c r="B1010"/>
  <c r="G1010"/>
  <c r="A1011"/>
  <c r="B1011"/>
  <c r="G1011"/>
  <c r="A1012"/>
  <c r="B1012"/>
  <c r="G1012"/>
  <c r="A1013"/>
  <c r="B1013"/>
  <c r="G1013"/>
  <c r="A1014"/>
  <c r="B1014"/>
  <c r="G1014"/>
  <c r="A1015"/>
  <c r="B1015"/>
  <c r="G1015"/>
  <c r="A1016"/>
  <c r="B1016"/>
  <c r="G1016"/>
  <c r="A1017"/>
  <c r="B1017"/>
  <c r="G1017"/>
  <c r="A1018"/>
  <c r="B1018"/>
  <c r="G1018"/>
  <c r="A1019"/>
  <c r="B1019"/>
  <c r="G1019"/>
  <c r="A1020"/>
  <c r="B1020"/>
  <c r="A1021"/>
  <c r="B1021"/>
  <c r="G1021"/>
  <c r="A1022"/>
  <c r="B1022"/>
  <c r="G1022"/>
  <c r="A1023"/>
  <c r="B1023"/>
  <c r="G1023"/>
  <c r="A1024"/>
  <c r="B1024"/>
  <c r="G1024"/>
  <c r="A1025"/>
  <c r="B1025"/>
  <c r="G1025"/>
  <c r="A1026"/>
  <c r="B1026"/>
  <c r="G1026"/>
  <c r="A1027"/>
  <c r="B1027"/>
  <c r="A1028"/>
  <c r="B1028"/>
  <c r="G1028"/>
  <c r="A1029"/>
  <c r="B1029"/>
  <c r="G1029"/>
  <c r="A1030"/>
  <c r="B1030"/>
  <c r="A1031"/>
  <c r="B1031"/>
  <c r="G1031"/>
  <c r="A1032"/>
  <c r="B1032"/>
  <c r="G1032"/>
  <c r="A1033"/>
  <c r="B1033"/>
  <c r="G1033"/>
  <c r="A1034"/>
  <c r="B1034"/>
  <c r="G1034"/>
  <c r="A1035"/>
  <c r="B1035"/>
  <c r="G1035"/>
  <c r="A1036"/>
  <c r="B1036"/>
  <c r="G1036"/>
  <c r="A1037"/>
  <c r="B1037"/>
  <c r="G1037"/>
  <c r="A1038"/>
  <c r="B1038"/>
  <c r="G1038"/>
  <c r="A1039"/>
  <c r="B1039"/>
  <c r="G1039"/>
  <c r="A1040"/>
  <c r="B1040"/>
  <c r="G1040"/>
  <c r="A1041"/>
  <c r="B1041"/>
  <c r="G1041"/>
  <c r="A1042"/>
  <c r="B1042"/>
  <c r="G1042"/>
  <c r="A1043"/>
  <c r="B1043"/>
  <c r="G1043"/>
  <c r="A1044"/>
  <c r="B1044"/>
  <c r="G1044"/>
  <c r="A1045"/>
  <c r="B1045"/>
  <c r="G1045"/>
  <c r="A1046"/>
  <c r="B1046"/>
  <c r="G1046"/>
  <c r="A1047"/>
  <c r="B1047"/>
  <c r="G1047"/>
  <c r="A1048"/>
  <c r="B1048"/>
  <c r="G1048"/>
  <c r="A1049"/>
  <c r="B1049"/>
  <c r="G1049"/>
  <c r="A1050"/>
  <c r="B1050"/>
  <c r="H1050"/>
  <c r="A1051"/>
  <c r="B1051"/>
  <c r="G1051"/>
  <c r="A1052"/>
  <c r="B1052"/>
  <c r="G1052"/>
  <c r="A1053"/>
  <c r="B1053"/>
  <c r="A1054"/>
  <c r="B1054"/>
  <c r="G1054"/>
  <c r="A1055"/>
  <c r="B1055"/>
  <c r="G1055"/>
  <c r="A1056"/>
  <c r="B1056"/>
  <c r="G1056"/>
  <c r="A1057"/>
  <c r="B1057"/>
  <c r="G1057"/>
  <c r="A1058"/>
  <c r="B1058"/>
  <c r="G1058"/>
  <c r="A1059"/>
  <c r="B1059"/>
  <c r="G1059"/>
  <c r="A1060"/>
  <c r="B1060"/>
  <c r="G1060"/>
  <c r="A1061"/>
  <c r="B1061"/>
  <c r="G1061"/>
  <c r="A1062"/>
  <c r="B1062"/>
  <c r="G1062"/>
  <c r="A1063"/>
  <c r="B1063"/>
  <c r="G1063"/>
  <c r="A1064"/>
  <c r="B1064"/>
  <c r="G1064"/>
  <c r="A1065"/>
  <c r="B1065"/>
  <c r="G1065"/>
  <c r="A1066"/>
  <c r="B1066"/>
  <c r="G1066"/>
  <c r="A1067"/>
  <c r="B1067"/>
  <c r="G1067"/>
  <c r="A1068"/>
  <c r="B1068"/>
  <c r="G1068"/>
  <c r="A1069"/>
  <c r="B1069"/>
  <c r="G1069"/>
  <c r="A1070"/>
  <c r="B1070"/>
  <c r="G1070"/>
  <c r="A1071"/>
  <c r="B1071"/>
  <c r="G1071"/>
  <c r="A1072"/>
  <c r="B1072"/>
  <c r="G1072"/>
  <c r="A1073"/>
  <c r="B1073"/>
  <c r="G1073"/>
  <c r="A1074"/>
  <c r="B1074"/>
  <c r="G1074"/>
  <c r="A1075"/>
  <c r="B1075"/>
  <c r="G1075"/>
  <c r="A1076"/>
  <c r="B1076"/>
  <c r="G1076"/>
  <c r="A1077"/>
  <c r="B1077"/>
  <c r="G1077"/>
  <c r="A1078"/>
  <c r="B1078"/>
  <c r="G1078"/>
  <c r="A1079"/>
  <c r="B1079"/>
  <c r="G1079"/>
  <c r="A1080"/>
  <c r="B1080"/>
  <c r="G1080"/>
  <c r="A1081"/>
  <c r="B1081"/>
  <c r="G1081"/>
  <c r="A1082"/>
  <c r="B1082"/>
  <c r="G1082"/>
  <c r="A1083"/>
  <c r="B1083"/>
  <c r="G1083"/>
  <c r="A1084"/>
  <c r="B1084"/>
  <c r="G1084"/>
  <c r="A1085"/>
  <c r="B1085"/>
  <c r="G1085"/>
  <c r="A1086"/>
  <c r="B1086"/>
  <c r="G1086"/>
  <c r="A1087"/>
  <c r="B1087"/>
  <c r="G1087"/>
  <c r="A1088"/>
  <c r="B1088"/>
  <c r="G1088"/>
  <c r="A1089"/>
  <c r="B1089"/>
  <c r="G1089"/>
  <c r="A1090"/>
  <c r="B1090"/>
  <c r="G1090"/>
  <c r="A1091"/>
  <c r="B1091"/>
  <c r="G1091"/>
  <c r="A1092"/>
  <c r="B1092"/>
  <c r="G1092"/>
  <c r="A1093"/>
  <c r="B1093"/>
  <c r="G1093"/>
  <c r="A1094"/>
  <c r="B1094"/>
  <c r="G1094"/>
  <c r="A1095"/>
  <c r="B1095"/>
  <c r="G1095"/>
  <c r="A1096"/>
  <c r="B1096"/>
  <c r="G1096"/>
  <c r="A1097"/>
  <c r="B1097"/>
  <c r="G1097"/>
  <c r="A1098"/>
  <c r="B1098"/>
  <c r="G1098"/>
  <c r="A1099"/>
  <c r="B1099"/>
  <c r="G1099"/>
  <c r="A1100"/>
  <c r="B1100"/>
  <c r="G1100"/>
  <c r="A1101"/>
  <c r="B1101"/>
  <c r="G1101"/>
  <c r="A1102"/>
  <c r="B1102"/>
  <c r="G1102"/>
  <c r="A1103"/>
  <c r="B1103"/>
  <c r="G1103"/>
  <c r="A1104"/>
  <c r="B1104"/>
  <c r="G1104"/>
  <c r="A1105"/>
  <c r="B1105"/>
  <c r="G1105"/>
  <c r="A1106"/>
  <c r="B1106"/>
  <c r="G1106"/>
  <c r="A1107"/>
  <c r="B1107"/>
  <c r="G1107"/>
  <c r="A1108"/>
  <c r="B1108"/>
  <c r="G1108"/>
  <c r="A1109"/>
  <c r="B1109"/>
  <c r="G1109"/>
  <c r="A1110"/>
  <c r="B1110"/>
  <c r="G1110"/>
  <c r="A1111"/>
  <c r="B1111"/>
  <c r="G1111"/>
  <c r="A1112"/>
  <c r="B1112"/>
  <c r="G1112"/>
  <c r="A1113"/>
  <c r="B1113"/>
  <c r="G1113"/>
  <c r="A1114"/>
  <c r="B1114"/>
  <c r="G1114"/>
  <c r="A1115"/>
  <c r="B1115"/>
  <c r="G1115"/>
  <c r="A1116"/>
  <c r="B1116"/>
  <c r="G1116"/>
  <c r="A1117"/>
  <c r="B1117"/>
  <c r="G1117"/>
  <c r="A1118"/>
  <c r="B1118"/>
  <c r="G1118"/>
  <c r="A1119"/>
  <c r="B1119"/>
  <c r="G1119"/>
  <c r="A1120"/>
  <c r="B1120"/>
  <c r="H1120"/>
  <c r="A1121"/>
  <c r="B1121"/>
  <c r="G1121"/>
  <c r="A1122"/>
  <c r="B1122"/>
  <c r="G1122"/>
  <c r="A1123"/>
  <c r="B1123"/>
  <c r="G1123"/>
  <c r="A1124"/>
  <c r="B1124"/>
  <c r="G1124"/>
  <c r="A1125"/>
  <c r="B1125"/>
  <c r="G1125"/>
  <c r="A1126"/>
  <c r="B1126"/>
  <c r="G1126"/>
  <c r="A1127"/>
  <c r="B1127"/>
  <c r="G1127"/>
  <c r="A1128"/>
  <c r="B1128"/>
  <c r="G1128"/>
  <c r="A1129"/>
  <c r="B1129"/>
  <c r="G1129"/>
  <c r="A1130"/>
  <c r="B1130"/>
  <c r="G1130"/>
  <c r="A1131"/>
  <c r="B1131"/>
  <c r="G1131"/>
  <c r="A1132"/>
  <c r="B1132"/>
  <c r="G1132"/>
  <c r="A1133"/>
  <c r="B1133"/>
  <c r="G1133"/>
  <c r="A1134"/>
  <c r="B1134"/>
  <c r="G1134"/>
  <c r="A1135"/>
  <c r="B1135"/>
  <c r="G1135"/>
  <c r="A1136"/>
  <c r="B1136"/>
  <c r="G1136"/>
  <c r="A1137"/>
  <c r="B1137"/>
  <c r="G1137"/>
  <c r="A1138"/>
  <c r="B1138"/>
  <c r="G1138"/>
  <c r="A1139"/>
  <c r="B1139"/>
  <c r="G1139"/>
  <c r="A1140"/>
  <c r="B1140"/>
  <c r="G1140"/>
  <c r="A1141"/>
  <c r="B1141"/>
  <c r="G1141"/>
  <c r="A1142"/>
  <c r="B1142"/>
  <c r="G1142"/>
  <c r="A1143"/>
  <c r="B1143"/>
  <c r="G1143"/>
  <c r="A1144"/>
  <c r="B1144"/>
  <c r="G1144"/>
  <c r="A1145"/>
  <c r="B1145"/>
  <c r="G1145"/>
  <c r="A1146"/>
  <c r="B1146"/>
  <c r="G1146"/>
  <c r="A1147"/>
  <c r="B1147"/>
  <c r="G1147"/>
  <c r="A1148"/>
  <c r="B1148"/>
  <c r="G1148"/>
  <c r="A1149"/>
  <c r="B1149"/>
  <c r="G1149"/>
  <c r="A1150"/>
  <c r="B1150"/>
  <c r="G1150"/>
  <c r="A1151"/>
  <c r="B1151"/>
  <c r="G1151"/>
  <c r="A1152"/>
  <c r="B1152"/>
  <c r="G1152"/>
  <c r="A1153"/>
  <c r="B1153"/>
  <c r="G1153"/>
  <c r="A1154"/>
  <c r="B1154"/>
  <c r="G1154"/>
  <c r="A1155"/>
  <c r="B1155"/>
  <c r="G1155"/>
  <c r="A1156"/>
  <c r="B1156"/>
  <c r="G1156"/>
  <c r="A1157"/>
  <c r="B1157"/>
  <c r="G1157"/>
  <c r="A1158"/>
  <c r="B1158"/>
  <c r="G1158"/>
  <c r="A1159"/>
  <c r="B1159"/>
  <c r="G1159"/>
  <c r="A1160"/>
  <c r="B1160"/>
  <c r="G1160"/>
  <c r="A1161"/>
  <c r="B1161"/>
  <c r="G1161"/>
  <c r="A1162"/>
  <c r="B1162"/>
  <c r="G1162"/>
  <c r="A1163"/>
  <c r="B1163"/>
  <c r="G1163"/>
  <c r="A1164"/>
  <c r="B1164"/>
  <c r="G1164"/>
  <c r="A1165"/>
  <c r="B1165"/>
  <c r="G1165"/>
  <c r="A1166"/>
  <c r="B1166"/>
  <c r="G1166"/>
  <c r="A1167"/>
  <c r="B1167"/>
  <c r="G1167"/>
  <c r="A1168"/>
  <c r="B1168"/>
  <c r="G1168"/>
  <c r="A1169"/>
  <c r="B1169"/>
  <c r="G1169"/>
  <c r="A1170"/>
  <c r="B1170"/>
  <c r="G1170"/>
  <c r="A1171"/>
  <c r="B1171"/>
  <c r="G1171"/>
  <c r="A1172"/>
  <c r="B1172"/>
  <c r="G1172"/>
  <c r="A1173"/>
  <c r="B1173"/>
  <c r="G1173"/>
  <c r="A1174"/>
  <c r="B1174"/>
  <c r="G1174"/>
  <c r="A1175"/>
  <c r="B1175"/>
  <c r="G1175"/>
  <c r="A1176"/>
  <c r="B1176"/>
  <c r="G1176"/>
  <c r="A1177"/>
  <c r="B1177"/>
  <c r="G1177"/>
  <c r="A1178"/>
  <c r="B1178"/>
  <c r="G1178"/>
  <c r="A1179"/>
  <c r="B1179"/>
  <c r="G1179"/>
  <c r="A1180"/>
  <c r="B1180"/>
  <c r="G1180"/>
  <c r="A1181"/>
  <c r="B1181"/>
  <c r="G1181"/>
  <c r="A1182"/>
  <c r="B1182"/>
  <c r="G1182"/>
  <c r="A1183"/>
  <c r="B1183"/>
  <c r="G1183"/>
  <c r="A1184"/>
  <c r="B1184"/>
  <c r="G1184"/>
  <c r="A1185"/>
  <c r="B1185"/>
  <c r="G1185"/>
  <c r="A1186"/>
  <c r="B1186"/>
  <c r="G1186"/>
  <c r="A1187"/>
  <c r="B1187"/>
  <c r="A1188"/>
  <c r="B1188"/>
  <c r="G1188"/>
  <c r="A1189"/>
  <c r="B1189"/>
  <c r="G1189"/>
  <c r="A1190"/>
  <c r="B1190"/>
  <c r="G1190"/>
  <c r="A1191"/>
  <c r="B1191"/>
  <c r="G1191"/>
  <c r="A1192"/>
  <c r="B1192"/>
  <c r="G1192"/>
  <c r="A1193"/>
  <c r="B1193"/>
  <c r="G1193"/>
  <c r="A1194"/>
  <c r="B1194"/>
  <c r="G1194"/>
  <c r="A1195"/>
  <c r="B1195"/>
  <c r="G1195"/>
  <c r="A1196"/>
  <c r="B1196"/>
  <c r="G1196"/>
  <c r="A1197"/>
  <c r="B1197"/>
  <c r="G1197"/>
  <c r="A1198"/>
  <c r="B1198"/>
  <c r="G1198"/>
  <c r="A1199"/>
  <c r="B1199"/>
  <c r="G1199"/>
  <c r="A1200"/>
  <c r="B1200"/>
  <c r="G1200"/>
  <c r="A1201"/>
  <c r="B1201"/>
  <c r="G1201"/>
  <c r="A1202"/>
  <c r="B1202"/>
  <c r="G1202"/>
  <c r="A1203"/>
  <c r="B1203"/>
  <c r="G1203"/>
  <c r="A1204"/>
  <c r="B1204"/>
  <c r="G1204"/>
  <c r="A1205"/>
  <c r="B1205"/>
  <c r="G1205"/>
  <c r="A1206"/>
  <c r="B1206"/>
  <c r="G1206"/>
  <c r="A1207"/>
  <c r="B1207"/>
  <c r="G1207"/>
  <c r="A1208"/>
  <c r="B1208"/>
  <c r="G1208"/>
  <c r="A1209"/>
  <c r="B1209"/>
  <c r="G1209"/>
  <c r="A1210"/>
  <c r="B1210"/>
  <c r="G1210"/>
  <c r="A1211"/>
  <c r="B1211"/>
  <c r="G1211"/>
  <c r="A1212"/>
  <c r="B1212"/>
  <c r="G1212"/>
  <c r="A1213"/>
  <c r="B1213"/>
  <c r="G1213"/>
  <c r="A1214"/>
  <c r="B1214"/>
  <c r="G1214"/>
  <c r="A1215"/>
  <c r="B1215"/>
  <c r="G1215"/>
  <c r="A1216"/>
  <c r="B1216"/>
  <c r="G1216"/>
  <c r="A1217"/>
  <c r="B1217"/>
  <c r="G1217"/>
  <c r="A1218"/>
  <c r="B1218"/>
  <c r="G1218"/>
  <c r="A1219"/>
  <c r="B1219"/>
  <c r="G1219"/>
  <c r="A1220"/>
  <c r="B1220"/>
  <c r="G1220"/>
  <c r="A1221"/>
  <c r="B1221"/>
  <c r="A1222"/>
  <c r="B1222"/>
  <c r="G1222"/>
  <c r="A1223"/>
  <c r="B1223"/>
  <c r="G1223"/>
  <c r="A1224"/>
  <c r="B1224"/>
  <c r="G1224"/>
  <c r="A1225"/>
  <c r="B1225"/>
  <c r="G1225"/>
  <c r="A1226"/>
  <c r="B1226"/>
  <c r="G1226"/>
  <c r="A1227"/>
  <c r="B1227"/>
  <c r="G1227"/>
  <c r="A1228"/>
  <c r="B1228"/>
  <c r="G1228"/>
  <c r="A1229"/>
  <c r="B1229"/>
  <c r="G1229"/>
  <c r="A1230"/>
  <c r="B1230"/>
  <c r="G1230"/>
  <c r="A1231"/>
  <c r="B1231"/>
  <c r="G1231"/>
  <c r="A1232"/>
  <c r="B1232"/>
  <c r="G1232"/>
  <c r="A1233"/>
  <c r="B1233"/>
  <c r="G1233"/>
  <c r="A1234"/>
  <c r="B1234"/>
  <c r="G1234"/>
  <c r="A1235"/>
  <c r="B1235"/>
  <c r="G1235"/>
  <c r="A1236"/>
  <c r="B1236"/>
  <c r="G1236"/>
  <c r="A1237"/>
  <c r="B1237"/>
  <c r="G1237"/>
  <c r="A1238"/>
  <c r="B1238"/>
  <c r="G1238"/>
  <c r="A1239"/>
  <c r="B1239"/>
  <c r="G1239"/>
  <c r="A1240"/>
  <c r="B1240"/>
  <c r="G1240"/>
  <c r="A1241"/>
  <c r="B1241"/>
  <c r="G1241"/>
  <c r="A1242"/>
  <c r="B1242"/>
  <c r="G1242"/>
  <c r="A1243"/>
  <c r="B1243"/>
  <c r="G1243"/>
  <c r="A1244"/>
  <c r="B1244"/>
  <c r="G1244"/>
  <c r="A1245"/>
  <c r="B1245"/>
  <c r="G1245"/>
  <c r="A1246"/>
  <c r="B1246"/>
  <c r="G1246"/>
  <c r="A1247"/>
  <c r="B1247"/>
  <c r="G1247"/>
  <c r="A1248"/>
  <c r="B1248"/>
  <c r="G1248"/>
  <c r="A1249"/>
  <c r="B1249"/>
  <c r="G1249"/>
  <c r="A1250"/>
  <c r="B1250"/>
  <c r="G1250"/>
  <c r="A1251"/>
  <c r="B1251"/>
  <c r="G1251"/>
  <c r="A1252"/>
  <c r="B1252"/>
  <c r="G1252"/>
  <c r="A1253"/>
  <c r="B1253"/>
  <c r="G1253"/>
  <c r="A1254"/>
  <c r="B1254"/>
  <c r="G1254"/>
  <c r="A1255"/>
  <c r="B1255"/>
  <c r="G1255"/>
  <c r="A1256"/>
  <c r="B1256"/>
  <c r="G1256"/>
  <c r="A1257"/>
  <c r="B1257"/>
  <c r="G1257"/>
  <c r="A1258"/>
  <c r="B1258"/>
  <c r="G1258"/>
  <c r="A1259"/>
  <c r="B1259"/>
  <c r="G1259"/>
  <c r="A1260"/>
  <c r="B1260"/>
  <c r="G1260"/>
  <c r="A1261"/>
  <c r="B1261"/>
  <c r="G1261"/>
  <c r="A1262"/>
  <c r="B1262"/>
  <c r="G1262"/>
  <c r="A1263"/>
  <c r="B1263"/>
  <c r="G1263"/>
  <c r="A1264"/>
  <c r="B1264"/>
  <c r="G1264"/>
  <c r="A1265"/>
  <c r="B1265"/>
  <c r="G1265"/>
  <c r="A1266"/>
  <c r="B1266"/>
  <c r="G1266"/>
  <c r="A1267"/>
  <c r="B1267"/>
  <c r="G1267"/>
  <c r="A1268"/>
  <c r="B1268"/>
  <c r="G1268"/>
  <c r="A1269"/>
  <c r="B1269"/>
  <c r="G1269"/>
  <c r="A1270"/>
  <c r="B1270"/>
  <c r="G1270"/>
  <c r="A1271"/>
  <c r="B1271"/>
  <c r="G1271"/>
  <c r="A1272"/>
  <c r="B1272"/>
  <c r="G1272"/>
  <c r="A1273"/>
  <c r="B1273"/>
  <c r="G1273"/>
  <c r="A1274"/>
  <c r="B1274"/>
  <c r="H1274"/>
  <c r="A1275"/>
  <c r="B1275"/>
  <c r="G1275"/>
  <c r="A1276"/>
  <c r="B1276"/>
  <c r="G1276"/>
  <c r="A1277"/>
  <c r="B1277"/>
  <c r="G1277"/>
  <c r="A1278"/>
  <c r="B1278"/>
  <c r="G1278"/>
  <c r="A1279"/>
  <c r="B1279"/>
  <c r="G1279"/>
  <c r="A1280"/>
  <c r="B1280"/>
  <c r="H1280"/>
  <c r="A1281"/>
  <c r="B1281"/>
  <c r="G1281"/>
  <c r="A1282"/>
  <c r="B1282"/>
  <c r="G1282"/>
  <c r="A1283"/>
  <c r="B1283"/>
  <c r="G1283"/>
  <c r="A1284"/>
  <c r="B1284"/>
  <c r="G1284"/>
  <c r="A1285"/>
  <c r="B1285"/>
  <c r="G1285"/>
  <c r="A1286"/>
  <c r="B1286"/>
  <c r="G1286"/>
  <c r="A1287"/>
  <c r="B1287"/>
  <c r="G1287"/>
  <c r="A1288"/>
  <c r="B1288"/>
  <c r="G1288"/>
  <c r="A1289"/>
  <c r="B1289"/>
  <c r="G1289"/>
  <c r="A1290"/>
  <c r="B1290"/>
  <c r="G1290"/>
  <c r="A1291"/>
  <c r="B1291"/>
  <c r="G1291"/>
  <c r="A1292"/>
  <c r="B1292"/>
  <c r="A1293"/>
  <c r="B1293"/>
  <c r="G1293"/>
  <c r="A1294"/>
  <c r="B1294"/>
  <c r="G1294"/>
  <c r="A1295"/>
  <c r="B1295"/>
  <c r="G1295"/>
  <c r="A1296"/>
  <c r="B1296"/>
  <c r="G1296"/>
  <c r="A1297"/>
  <c r="B1297"/>
  <c r="G1297"/>
  <c r="A1298"/>
  <c r="B1298"/>
  <c r="G1298"/>
  <c r="A1299"/>
  <c r="B1299"/>
  <c r="G1299"/>
  <c r="A1300"/>
  <c r="B1300"/>
  <c r="G1300"/>
  <c r="A1301"/>
  <c r="B1301"/>
  <c r="G1301"/>
  <c r="A1302"/>
  <c r="B1302"/>
  <c r="G1302"/>
  <c r="A1303"/>
  <c r="B1303"/>
  <c r="G1303"/>
  <c r="A1304"/>
  <c r="B1304"/>
  <c r="G1304"/>
  <c r="A1305"/>
  <c r="B1305"/>
  <c r="G1305"/>
  <c r="A1306"/>
  <c r="B1306"/>
  <c r="G1306"/>
  <c r="A1307"/>
  <c r="B1307"/>
  <c r="G1307"/>
  <c r="A1308"/>
  <c r="B1308"/>
  <c r="G1308"/>
  <c r="A1309"/>
  <c r="B1309"/>
  <c r="G1309"/>
  <c r="A1310"/>
  <c r="B1310"/>
  <c r="G1310"/>
  <c r="A1311"/>
  <c r="B1311"/>
  <c r="G1311"/>
  <c r="A1312"/>
  <c r="B1312"/>
  <c r="G1312"/>
  <c r="A1313"/>
  <c r="B1313"/>
  <c r="G1313"/>
  <c r="A1314"/>
  <c r="B1314"/>
  <c r="G1314"/>
  <c r="A1315"/>
  <c r="B1315"/>
  <c r="G1315"/>
  <c r="A1316"/>
  <c r="B1316"/>
  <c r="G1316"/>
  <c r="A1317"/>
  <c r="B1317"/>
  <c r="G1317"/>
  <c r="A1318"/>
  <c r="B1318"/>
  <c r="G1318"/>
  <c r="A1319"/>
  <c r="B1319"/>
  <c r="G1319"/>
  <c r="A1320"/>
  <c r="B1320"/>
  <c r="G1320"/>
  <c r="A1321"/>
  <c r="B1321"/>
  <c r="G1321"/>
  <c r="A1322"/>
  <c r="B1322"/>
  <c r="G1322"/>
  <c r="A1323"/>
  <c r="B1323"/>
  <c r="G1323"/>
  <c r="A1324"/>
  <c r="B1324"/>
  <c r="G1324"/>
  <c r="A1325"/>
  <c r="B1325"/>
  <c r="G1325"/>
  <c r="A1326"/>
  <c r="B1326"/>
  <c r="G1326"/>
  <c r="A1327"/>
  <c r="B1327"/>
  <c r="G1327"/>
  <c r="A1328"/>
  <c r="B1328"/>
  <c r="G1328"/>
  <c r="A1329"/>
  <c r="B1329"/>
  <c r="G1329"/>
  <c r="A1330"/>
  <c r="B1330"/>
  <c r="G1330"/>
  <c r="A1331"/>
  <c r="B1331"/>
  <c r="G1331"/>
  <c r="A1332"/>
  <c r="B1332"/>
  <c r="G1332"/>
  <c r="A1333"/>
  <c r="B1333"/>
  <c r="G1333"/>
  <c r="A1334"/>
  <c r="B1334"/>
  <c r="G1334"/>
  <c r="A1335"/>
  <c r="B1335"/>
  <c r="G1335"/>
  <c r="A1336"/>
  <c r="B1336"/>
  <c r="G1336"/>
  <c r="A1337"/>
  <c r="B1337"/>
  <c r="G1337"/>
  <c r="A1338"/>
  <c r="B1338"/>
  <c r="G1338"/>
  <c r="A1339"/>
  <c r="B1339"/>
  <c r="G1339"/>
  <c r="A1340"/>
  <c r="B1340"/>
  <c r="G1340"/>
  <c r="A1341"/>
  <c r="B1341"/>
  <c r="G1341"/>
  <c r="A1342"/>
  <c r="B1342"/>
  <c r="G1342"/>
  <c r="A1343"/>
  <c r="B1343"/>
  <c r="G1343"/>
  <c r="A1344"/>
  <c r="B1344"/>
  <c r="G1344"/>
  <c r="A1345"/>
  <c r="B1345"/>
  <c r="G1345"/>
  <c r="A1346"/>
  <c r="B1346"/>
  <c r="H1346"/>
  <c r="A1347"/>
  <c r="B1347"/>
  <c r="G1347"/>
  <c r="A1348"/>
  <c r="B1348"/>
  <c r="G1348"/>
  <c r="A1349"/>
  <c r="B1349"/>
  <c r="G1349"/>
  <c r="A1350"/>
  <c r="B1350"/>
  <c r="G1350"/>
  <c r="A1351"/>
  <c r="B1351"/>
  <c r="G1351"/>
  <c r="A1352"/>
  <c r="B1352"/>
  <c r="G1352"/>
  <c r="A1353"/>
  <c r="B1353"/>
  <c r="G1353"/>
  <c r="A1354"/>
  <c r="B1354"/>
  <c r="G1354"/>
  <c r="A1355"/>
  <c r="B1355"/>
  <c r="G1355"/>
  <c r="A1356"/>
  <c r="B1356"/>
  <c r="G1356"/>
  <c r="A1357"/>
  <c r="B1357"/>
  <c r="G1357"/>
  <c r="A1358"/>
  <c r="B1358"/>
  <c r="G1358"/>
  <c r="A1359"/>
  <c r="B1359"/>
  <c r="G1359"/>
  <c r="A1360"/>
  <c r="B1360"/>
  <c r="G1360"/>
  <c r="A1361"/>
  <c r="B1361"/>
  <c r="G1361"/>
  <c r="A1362"/>
  <c r="B1362"/>
  <c r="G1362"/>
  <c r="A1363"/>
  <c r="B1363"/>
  <c r="G1363"/>
  <c r="A1364"/>
  <c r="B1364"/>
  <c r="G1364"/>
  <c r="A1365"/>
  <c r="B1365"/>
  <c r="G1365"/>
  <c r="A1366"/>
  <c r="B1366"/>
  <c r="G1366"/>
  <c r="A1367"/>
  <c r="B1367"/>
  <c r="G1367"/>
  <c r="A1368"/>
  <c r="B1368"/>
  <c r="G1368"/>
  <c r="A1369"/>
  <c r="B1369"/>
  <c r="G1369"/>
  <c r="A1370"/>
  <c r="B1370"/>
  <c r="G1370"/>
  <c r="A1371"/>
  <c r="B1371"/>
  <c r="G1371"/>
  <c r="A1372"/>
  <c r="B1372"/>
  <c r="G1372"/>
  <c r="A1373"/>
  <c r="B1373"/>
  <c r="G1373"/>
  <c r="A1374"/>
  <c r="B1374"/>
  <c r="G1374"/>
  <c r="A1375"/>
  <c r="B1375"/>
  <c r="G1375"/>
  <c r="A1376"/>
  <c r="B1376"/>
  <c r="G1376"/>
  <c r="A1377"/>
  <c r="B1377"/>
  <c r="G1377"/>
  <c r="A1378"/>
  <c r="B1378"/>
  <c r="G1378"/>
  <c r="A1379"/>
  <c r="B1379"/>
  <c r="G1379"/>
  <c r="A1380"/>
  <c r="B1380"/>
  <c r="G1380"/>
  <c r="A1381"/>
  <c r="B1381"/>
  <c r="G1381"/>
  <c r="A1382"/>
  <c r="B1382"/>
  <c r="G1382"/>
  <c r="A1383"/>
  <c r="B1383"/>
  <c r="G1383"/>
  <c r="A1384"/>
  <c r="B1384"/>
  <c r="G1384"/>
  <c r="A1385"/>
  <c r="B1385"/>
  <c r="G1385"/>
  <c r="A1386"/>
  <c r="B1386"/>
  <c r="G1386"/>
  <c r="A1387"/>
  <c r="B1387"/>
  <c r="G1387"/>
  <c r="A1388"/>
  <c r="B1388"/>
  <c r="G1388"/>
  <c r="A1389"/>
  <c r="B1389"/>
  <c r="G1389"/>
  <c r="A1390"/>
  <c r="B1390"/>
  <c r="G1390"/>
  <c r="A1391"/>
  <c r="B1391"/>
  <c r="G1391"/>
  <c r="A1392"/>
  <c r="B1392"/>
  <c r="G1392"/>
  <c r="A1393"/>
  <c r="B1393"/>
  <c r="G1393"/>
  <c r="A1394"/>
  <c r="B1394"/>
  <c r="G1394"/>
  <c r="A1395"/>
  <c r="B1395"/>
  <c r="G1395"/>
  <c r="A1396"/>
  <c r="B1396"/>
  <c r="G1396"/>
  <c r="A1397"/>
  <c r="B1397"/>
  <c r="G1397"/>
  <c r="A1398"/>
  <c r="B1398"/>
  <c r="G1398"/>
  <c r="A1399"/>
  <c r="B1399"/>
  <c r="G1399"/>
  <c r="A1400"/>
  <c r="B1400"/>
  <c r="G1400"/>
  <c r="A1401"/>
  <c r="B1401"/>
  <c r="G1401"/>
  <c r="A1402"/>
  <c r="B1402"/>
  <c r="G1402"/>
  <c r="A1403"/>
  <c r="B1403"/>
  <c r="G1403"/>
  <c r="A1404"/>
  <c r="B1404"/>
  <c r="G1404"/>
  <c r="A1405"/>
  <c r="B1405"/>
  <c r="G1405"/>
  <c r="A1406"/>
  <c r="B1406"/>
  <c r="G1406"/>
  <c r="A1407"/>
  <c r="B1407"/>
  <c r="G1407"/>
  <c r="A1408"/>
  <c r="B1408"/>
  <c r="G1408"/>
  <c r="A1409"/>
  <c r="B1409"/>
  <c r="G1409"/>
  <c r="A1410"/>
  <c r="B1410"/>
  <c r="G1410"/>
  <c r="A1411"/>
  <c r="B1411"/>
  <c r="G1411"/>
  <c r="A1412"/>
  <c r="B1412"/>
  <c r="G1412"/>
  <c r="A1413"/>
  <c r="B1413"/>
  <c r="G1413"/>
  <c r="A1414"/>
  <c r="B1414"/>
  <c r="G1414"/>
  <c r="A1415"/>
  <c r="B1415"/>
  <c r="G1415"/>
  <c r="A1416"/>
  <c r="B1416"/>
  <c r="G1416"/>
  <c r="A1417"/>
  <c r="B1417"/>
  <c r="G1417"/>
  <c r="A1418"/>
  <c r="B1418"/>
  <c r="G1418"/>
  <c r="A1419"/>
  <c r="B1419"/>
  <c r="G1419"/>
  <c r="A1420"/>
  <c r="B1420"/>
  <c r="G1420"/>
  <c r="A1421"/>
  <c r="B1421"/>
  <c r="G1421"/>
  <c r="A1422"/>
  <c r="B1422"/>
  <c r="G1422"/>
  <c r="A1423"/>
  <c r="B1423"/>
  <c r="G1423"/>
  <c r="A1424"/>
  <c r="B1424"/>
  <c r="G1424"/>
  <c r="A1425"/>
  <c r="B1425"/>
  <c r="G1425"/>
  <c r="A1426"/>
  <c r="B1426"/>
  <c r="G1426"/>
  <c r="A1427"/>
  <c r="B1427"/>
  <c r="G1427"/>
  <c r="A1428"/>
  <c r="B1428"/>
  <c r="G1428"/>
  <c r="A1429"/>
  <c r="B1429"/>
  <c r="G1429"/>
  <c r="A1430"/>
  <c r="B1430"/>
  <c r="G1430"/>
  <c r="A1431"/>
  <c r="B1431"/>
  <c r="G1431"/>
  <c r="A1432"/>
  <c r="B1432"/>
  <c r="G1432"/>
  <c r="A1433"/>
  <c r="B1433"/>
  <c r="G1433"/>
  <c r="A1434"/>
  <c r="B1434"/>
  <c r="G1434"/>
  <c r="A1435"/>
  <c r="B1435"/>
  <c r="G1435"/>
  <c r="A1436"/>
  <c r="B1436"/>
  <c r="G1436"/>
  <c r="A1437"/>
  <c r="B1437"/>
  <c r="G1437"/>
  <c r="A1438"/>
  <c r="B1438"/>
  <c r="G1438"/>
  <c r="A1439"/>
  <c r="B1439"/>
  <c r="G1439"/>
  <c r="A1440"/>
  <c r="B1440"/>
  <c r="G1440"/>
  <c r="A1441"/>
  <c r="B1441"/>
  <c r="G1441"/>
  <c r="A1442"/>
  <c r="B1442"/>
  <c r="G1442"/>
  <c r="A1443"/>
  <c r="B1443"/>
  <c r="G1443"/>
  <c r="A1444"/>
  <c r="B1444"/>
  <c r="G1444"/>
  <c r="A1445"/>
  <c r="B1445"/>
  <c r="G1445"/>
  <c r="A1446"/>
  <c r="B1446"/>
  <c r="G1446"/>
  <c r="A1447"/>
  <c r="B1447"/>
  <c r="G1447"/>
  <c r="A1448"/>
  <c r="B1448"/>
  <c r="G1448"/>
  <c r="A1449"/>
  <c r="B1449"/>
  <c r="G1449"/>
  <c r="A1450"/>
  <c r="B1450"/>
  <c r="G1450"/>
  <c r="A1451"/>
  <c r="B1451"/>
  <c r="G1451"/>
  <c r="A1452"/>
  <c r="B1452"/>
  <c r="G1452"/>
  <c r="A1453"/>
  <c r="B1453"/>
  <c r="G1453"/>
  <c r="A1454"/>
  <c r="B1454"/>
  <c r="G1454"/>
  <c r="A1455"/>
  <c r="B1455"/>
  <c r="G1455"/>
  <c r="A1456"/>
  <c r="B1456"/>
  <c r="G1456"/>
  <c r="A1457"/>
  <c r="B1457"/>
  <c r="G1457"/>
  <c r="A1458"/>
  <c r="B1458"/>
  <c r="G1458"/>
  <c r="A1459"/>
  <c r="B1459"/>
  <c r="G1459"/>
  <c r="A1460"/>
  <c r="B1460"/>
  <c r="G1460"/>
  <c r="A1461"/>
  <c r="B1461"/>
  <c r="G1461"/>
  <c r="A1462"/>
  <c r="B1462"/>
  <c r="G1462"/>
  <c r="A1463"/>
  <c r="B1463"/>
  <c r="G1463"/>
  <c r="A1464"/>
  <c r="B1464"/>
  <c r="G1464"/>
  <c r="A1465"/>
  <c r="B1465"/>
  <c r="G1465"/>
  <c r="A1466"/>
  <c r="B1466"/>
  <c r="G1466"/>
  <c r="A1467"/>
  <c r="B1467"/>
  <c r="G1467"/>
  <c r="A1468"/>
  <c r="B1468"/>
  <c r="G1468"/>
  <c r="A1469"/>
  <c r="B1469"/>
  <c r="G1469"/>
  <c r="A1470"/>
  <c r="B1470"/>
  <c r="G1470"/>
  <c r="A1471"/>
  <c r="B1471"/>
  <c r="G1471"/>
  <c r="A1472"/>
  <c r="B1472"/>
  <c r="G1472"/>
  <c r="A1473"/>
  <c r="B1473"/>
  <c r="G1473"/>
  <c r="A1474"/>
  <c r="B1474"/>
  <c r="G1474"/>
  <c r="A1475"/>
  <c r="B1475"/>
  <c r="G1475"/>
  <c r="A1476"/>
  <c r="B1476"/>
  <c r="G1476"/>
  <c r="A1477"/>
  <c r="B1477"/>
  <c r="G1477"/>
  <c r="A1478"/>
  <c r="B1478"/>
  <c r="G1478"/>
  <c r="A1479"/>
  <c r="B1479"/>
  <c r="G1479"/>
  <c r="A1480"/>
  <c r="B1480"/>
  <c r="G1480"/>
  <c r="A1481"/>
  <c r="B1481"/>
  <c r="G1481"/>
  <c r="A1482"/>
  <c r="B1482"/>
  <c r="G1482"/>
  <c r="A1483"/>
  <c r="B1483"/>
  <c r="G1483"/>
  <c r="A1484"/>
  <c r="B1484"/>
  <c r="G1484"/>
  <c r="A1485"/>
  <c r="B1485"/>
  <c r="G1485"/>
  <c r="A1486"/>
  <c r="B1486"/>
  <c r="G1486"/>
  <c r="A1487"/>
  <c r="B1487"/>
  <c r="G1487"/>
  <c r="A1488"/>
  <c r="B1488"/>
  <c r="G1488"/>
  <c r="A1489"/>
  <c r="B1489"/>
  <c r="G1489"/>
  <c r="A1490"/>
  <c r="B1490"/>
  <c r="G1490"/>
  <c r="A1491"/>
  <c r="B1491"/>
  <c r="G1491"/>
  <c r="A1492"/>
  <c r="B1492"/>
  <c r="G1492"/>
  <c r="A1493"/>
  <c r="B1493"/>
  <c r="G1493"/>
  <c r="A1494"/>
  <c r="B1494"/>
  <c r="G1494"/>
  <c r="A1495"/>
  <c r="B1495"/>
  <c r="G1495"/>
  <c r="A1496"/>
  <c r="B1496"/>
  <c r="G1496"/>
  <c r="A1497"/>
  <c r="B1497"/>
  <c r="G1497"/>
  <c r="A1498"/>
  <c r="B1498"/>
  <c r="G1498"/>
  <c r="A1499"/>
  <c r="B1499"/>
  <c r="G1499"/>
  <c r="A1500"/>
  <c r="B1500"/>
  <c r="G1500"/>
  <c r="A1501"/>
  <c r="B1501"/>
  <c r="G1501"/>
  <c r="A1502"/>
  <c r="B1502"/>
  <c r="G1502"/>
  <c r="A1503"/>
  <c r="B1503"/>
  <c r="G1503"/>
  <c r="A1504"/>
  <c r="B1504"/>
  <c r="G1504"/>
  <c r="A1505"/>
  <c r="B1505"/>
  <c r="G1505"/>
  <c r="A1506"/>
  <c r="B1506"/>
  <c r="G1506"/>
  <c r="A1507"/>
  <c r="B1507"/>
  <c r="G1507"/>
  <c r="A1508"/>
  <c r="B1508"/>
  <c r="G1508"/>
  <c r="A1509"/>
  <c r="B1509"/>
  <c r="G1509"/>
  <c r="A1510"/>
  <c r="B1510"/>
  <c r="G1510"/>
  <c r="A1511"/>
  <c r="B1511"/>
  <c r="G1511"/>
  <c r="A1512"/>
  <c r="B1512"/>
  <c r="G1512"/>
  <c r="A1513"/>
  <c r="B1513"/>
  <c r="H1513"/>
  <c r="A1514"/>
  <c r="B1514"/>
  <c r="G1514"/>
  <c r="A1515"/>
  <c r="B1515"/>
  <c r="G1515"/>
  <c r="A1516"/>
  <c r="B1516"/>
  <c r="G1516"/>
  <c r="A1517"/>
  <c r="B1517"/>
  <c r="G1517"/>
  <c r="A1518"/>
  <c r="B1518"/>
  <c r="G1518"/>
  <c r="A1519"/>
  <c r="B1519"/>
  <c r="G1519"/>
  <c r="A1520"/>
  <c r="B1520"/>
  <c r="G1520"/>
  <c r="A1521"/>
  <c r="B1521"/>
  <c r="G1521"/>
  <c r="A1522"/>
  <c r="B1522"/>
  <c r="G1522"/>
  <c r="A1523"/>
  <c r="B1523"/>
  <c r="G1523"/>
  <c r="A1524"/>
  <c r="B1524"/>
  <c r="G1524"/>
  <c r="A1525"/>
  <c r="B1525"/>
  <c r="G1525"/>
  <c r="A1526"/>
  <c r="B1526"/>
  <c r="G1526"/>
  <c r="A1527"/>
  <c r="B1527"/>
  <c r="G1527"/>
  <c r="A1528"/>
  <c r="B1528"/>
  <c r="G1528"/>
  <c r="A1529"/>
  <c r="B1529"/>
  <c r="G1529"/>
  <c r="A1530"/>
  <c r="B1530"/>
  <c r="G1530"/>
  <c r="A1531"/>
  <c r="B1531"/>
  <c r="G1531"/>
  <c r="A1532"/>
  <c r="B1532"/>
  <c r="G1532"/>
  <c r="A1533"/>
  <c r="B1533"/>
  <c r="G1533"/>
  <c r="A1534"/>
  <c r="B1534"/>
  <c r="G1534"/>
  <c r="A1535"/>
  <c r="B1535"/>
  <c r="G1535"/>
  <c r="A1536"/>
  <c r="B1536"/>
  <c r="G1536"/>
  <c r="A1537"/>
  <c r="B1537"/>
  <c r="G1537"/>
  <c r="A1538"/>
  <c r="B1538"/>
  <c r="G1538"/>
  <c r="A1539"/>
  <c r="B1539"/>
  <c r="G1539"/>
  <c r="A1540"/>
  <c r="B1540"/>
  <c r="G1540"/>
  <c r="A1541"/>
  <c r="B1541"/>
  <c r="G1541"/>
  <c r="A1542"/>
  <c r="B1542"/>
  <c r="G1542"/>
  <c r="A1543"/>
  <c r="B1543"/>
  <c r="G1543"/>
  <c r="A1544"/>
  <c r="B1544"/>
  <c r="G1544"/>
  <c r="A1545"/>
  <c r="B1545"/>
  <c r="G1545"/>
  <c r="A1546"/>
  <c r="B1546"/>
  <c r="G1546"/>
  <c r="A1547"/>
  <c r="B1547"/>
  <c r="G1547"/>
  <c r="A1548"/>
  <c r="B1548"/>
  <c r="G1548"/>
  <c r="A1549"/>
  <c r="B1549"/>
  <c r="G1549"/>
  <c r="A1550"/>
  <c r="B1550"/>
  <c r="G1550"/>
  <c r="A1551"/>
  <c r="B1551"/>
  <c r="G1551"/>
  <c r="A1552"/>
  <c r="B1552"/>
  <c r="G1552"/>
  <c r="A1553"/>
  <c r="B1553"/>
  <c r="G1553"/>
  <c r="A1554"/>
  <c r="B1554"/>
  <c r="G1554"/>
  <c r="A1555"/>
  <c r="B1555"/>
  <c r="G1555"/>
  <c r="A1556"/>
  <c r="B1556"/>
  <c r="G1556"/>
  <c r="A1557"/>
  <c r="B1557"/>
  <c r="G1557"/>
  <c r="A1558"/>
  <c r="B1558"/>
  <c r="G1558"/>
  <c r="A1559"/>
  <c r="B1559"/>
  <c r="G1559"/>
  <c r="A1560"/>
  <c r="B1560"/>
  <c r="G1560"/>
  <c r="A1561"/>
  <c r="B1561"/>
  <c r="G1561"/>
  <c r="A1562"/>
  <c r="B1562"/>
  <c r="G1562"/>
  <c r="A1563"/>
  <c r="B1563"/>
  <c r="G1563"/>
  <c r="A1564"/>
  <c r="B1564"/>
  <c r="G1564"/>
  <c r="A1565"/>
  <c r="B1565"/>
  <c r="G1565"/>
  <c r="A1566"/>
  <c r="B1566"/>
  <c r="G1566"/>
  <c r="A1567"/>
  <c r="B1567"/>
  <c r="G1567"/>
  <c r="A1568"/>
  <c r="B1568"/>
  <c r="G1568"/>
  <c r="A1569"/>
  <c r="B1569"/>
  <c r="G1569"/>
  <c r="A1570"/>
  <c r="B1570"/>
  <c r="G1570"/>
  <c r="A1571"/>
  <c r="B1571"/>
  <c r="G1571"/>
  <c r="A1572"/>
  <c r="B1572"/>
  <c r="G1572"/>
  <c r="A1573"/>
  <c r="B1573"/>
  <c r="G1573"/>
  <c r="A1574"/>
  <c r="B1574"/>
  <c r="G1574"/>
  <c r="A1575"/>
  <c r="B1575"/>
  <c r="G1575"/>
  <c r="A1576"/>
  <c r="B1576"/>
  <c r="G1576"/>
  <c r="A1577"/>
  <c r="B1577"/>
  <c r="G1577"/>
  <c r="A1578"/>
  <c r="B1578"/>
  <c r="G1578"/>
  <c r="A1579"/>
  <c r="B1579"/>
  <c r="G1579"/>
  <c r="A1580"/>
  <c r="B1580"/>
  <c r="G1580"/>
  <c r="A1581"/>
  <c r="B1581"/>
  <c r="G1581"/>
  <c r="A1582"/>
  <c r="B1582"/>
  <c r="G1582"/>
  <c r="A1583"/>
  <c r="B1583"/>
  <c r="G1583"/>
  <c r="A1584"/>
  <c r="B1584"/>
  <c r="G1584"/>
  <c r="A1585"/>
  <c r="B1585"/>
  <c r="G1585"/>
  <c r="A1586"/>
  <c r="B1586"/>
  <c r="G1586"/>
  <c r="A1587"/>
  <c r="B1587"/>
  <c r="G1587"/>
  <c r="A1588"/>
  <c r="B1588"/>
  <c r="G1588"/>
  <c r="A1589"/>
  <c r="B1589"/>
  <c r="G1589"/>
  <c r="A1590"/>
  <c r="B1590"/>
  <c r="G1590"/>
  <c r="A1591"/>
  <c r="B1591"/>
  <c r="G1591"/>
  <c r="A1592"/>
  <c r="B1592"/>
  <c r="G1592"/>
  <c r="A1593"/>
  <c r="B1593"/>
  <c r="G1593"/>
  <c r="A1594"/>
  <c r="B1594"/>
  <c r="G1594"/>
  <c r="A1595"/>
  <c r="B1595"/>
  <c r="G1595"/>
  <c r="A1596"/>
  <c r="B1596"/>
  <c r="G1596"/>
  <c r="A1597"/>
  <c r="B1597"/>
  <c r="G1597"/>
  <c r="A1598"/>
  <c r="B1598"/>
  <c r="G1598"/>
  <c r="A1599"/>
  <c r="B1599"/>
  <c r="G1599"/>
  <c r="A1600"/>
  <c r="B1600"/>
  <c r="G1600"/>
  <c r="A1601"/>
  <c r="B1601"/>
  <c r="G1601"/>
  <c r="A1602"/>
  <c r="B1602"/>
  <c r="H1602"/>
  <c r="A1603"/>
  <c r="B1603"/>
  <c r="G1603"/>
  <c r="A1604"/>
  <c r="B1604"/>
  <c r="G1604"/>
  <c r="A1605"/>
  <c r="B1605"/>
  <c r="G1605"/>
  <c r="A1606"/>
  <c r="B1606"/>
  <c r="G1606"/>
  <c r="A1607"/>
  <c r="B1607"/>
  <c r="G1607"/>
  <c r="A1608"/>
  <c r="B1608"/>
  <c r="G1608"/>
  <c r="A1609"/>
  <c r="B1609"/>
  <c r="G1609"/>
  <c r="A1610"/>
  <c r="B1610"/>
  <c r="G1610"/>
  <c r="A1611"/>
  <c r="B1611"/>
  <c r="G1611"/>
  <c r="A1612"/>
  <c r="B1612"/>
  <c r="G1612"/>
  <c r="A1613"/>
  <c r="B1613"/>
  <c r="G1613"/>
  <c r="A1614"/>
  <c r="B1614"/>
  <c r="G1614"/>
  <c r="A1615"/>
  <c r="B1615"/>
  <c r="G1615"/>
  <c r="A1616"/>
  <c r="B1616"/>
  <c r="G1616"/>
  <c r="A1617"/>
  <c r="B1617"/>
  <c r="G1617"/>
  <c r="A1618"/>
  <c r="B1618"/>
  <c r="G1618"/>
  <c r="A1619"/>
  <c r="B1619"/>
  <c r="G1619"/>
  <c r="A1620"/>
  <c r="B1620"/>
  <c r="G1620"/>
  <c r="A1621"/>
  <c r="B1621"/>
  <c r="G1621"/>
  <c r="A1622"/>
  <c r="B1622"/>
  <c r="G1622"/>
  <c r="A1623"/>
  <c r="B1623"/>
  <c r="G1623"/>
  <c r="A1624"/>
  <c r="B1624"/>
  <c r="G1624"/>
  <c r="A1625"/>
  <c r="B1625"/>
  <c r="G1625"/>
  <c r="A1626"/>
  <c r="B1626"/>
  <c r="G1626"/>
  <c r="A1627"/>
  <c r="B1627"/>
  <c r="G1627"/>
  <c r="A1628"/>
  <c r="B1628"/>
  <c r="G1628"/>
  <c r="A1629"/>
  <c r="B1629"/>
  <c r="G1629"/>
  <c r="A1630"/>
  <c r="B1630"/>
  <c r="G1630"/>
  <c r="A1631"/>
  <c r="B1631"/>
  <c r="G1631"/>
  <c r="A1632"/>
  <c r="B1632"/>
  <c r="G1632"/>
  <c r="A1633"/>
  <c r="B1633"/>
  <c r="G1633"/>
  <c r="A1634"/>
  <c r="B1634"/>
  <c r="G1634"/>
  <c r="A1635"/>
  <c r="B1635"/>
  <c r="G1635"/>
  <c r="A1636"/>
  <c r="B1636"/>
  <c r="G1636"/>
  <c r="A1637"/>
  <c r="B1637"/>
  <c r="G1637"/>
  <c r="A1638"/>
  <c r="B1638"/>
  <c r="G1638"/>
  <c r="A1639"/>
  <c r="B1639"/>
  <c r="G1639"/>
  <c r="A1640"/>
  <c r="B1640"/>
  <c r="G1640"/>
  <c r="A1641"/>
  <c r="B1641"/>
  <c r="G1641"/>
  <c r="A1642"/>
  <c r="B1642"/>
  <c r="G1642"/>
  <c r="A1643"/>
  <c r="B1643"/>
  <c r="G1643"/>
  <c r="A1644"/>
  <c r="B1644"/>
  <c r="G1644"/>
  <c r="A1645"/>
  <c r="B1645"/>
  <c r="G1645"/>
  <c r="A1646"/>
  <c r="B1646"/>
  <c r="G1646"/>
  <c r="A1647"/>
  <c r="B1647"/>
  <c r="H1647"/>
  <c r="A1648"/>
  <c r="B1648"/>
  <c r="G1648"/>
  <c r="A1649"/>
  <c r="B1649"/>
  <c r="G1649"/>
  <c r="A1650"/>
  <c r="B1650"/>
  <c r="G1650"/>
  <c r="A1651"/>
  <c r="B1651"/>
  <c r="G1651"/>
  <c r="A1652"/>
  <c r="B1652"/>
  <c r="G1652"/>
  <c r="A1653"/>
  <c r="B1653"/>
  <c r="G1653"/>
  <c r="A1654"/>
  <c r="B1654"/>
  <c r="G1654"/>
  <c r="A1655"/>
  <c r="B1655"/>
  <c r="G1655"/>
  <c r="A1656"/>
  <c r="B1656"/>
  <c r="G1656"/>
  <c r="A1657"/>
  <c r="B1657"/>
  <c r="G1657"/>
  <c r="A1658"/>
  <c r="B1658"/>
  <c r="G1658"/>
  <c r="A1659"/>
  <c r="B1659"/>
  <c r="G1659"/>
  <c r="A1660"/>
  <c r="B1660"/>
  <c r="G1660"/>
  <c r="A1661"/>
  <c r="B1661"/>
  <c r="G1661"/>
  <c r="A1662"/>
  <c r="B1662"/>
  <c r="H1662"/>
  <c r="A1663"/>
  <c r="B1663"/>
  <c r="G1663"/>
  <c r="A1664"/>
  <c r="B1664"/>
  <c r="G1664"/>
  <c r="A1665"/>
  <c r="B1665"/>
  <c r="G1665"/>
  <c r="A1666"/>
  <c r="B1666"/>
  <c r="H1666"/>
  <c r="A1667"/>
  <c r="B1667"/>
  <c r="G1667"/>
  <c r="A1668"/>
  <c r="B1668"/>
  <c r="G1668"/>
  <c r="A1669"/>
  <c r="B1669"/>
  <c r="G1669"/>
  <c r="A1670"/>
  <c r="B1670"/>
  <c r="G1670"/>
  <c r="A1671"/>
  <c r="B1671"/>
  <c r="G1671"/>
  <c r="A1672"/>
  <c r="B1672"/>
  <c r="G1672"/>
  <c r="A1673"/>
  <c r="B1673"/>
  <c r="G1673"/>
  <c r="A1674"/>
  <c r="B1674"/>
  <c r="G1674"/>
  <c r="A1675"/>
  <c r="B1675"/>
  <c r="G1675"/>
  <c r="A1676"/>
  <c r="B1676"/>
  <c r="G1676"/>
  <c r="A1677"/>
  <c r="B1677"/>
  <c r="G1677"/>
  <c r="A1678"/>
  <c r="B1678"/>
  <c r="G1678"/>
  <c r="A1679"/>
  <c r="B1679"/>
  <c r="G1679"/>
  <c r="A1680"/>
  <c r="B1680"/>
  <c r="G1680"/>
  <c r="A1681"/>
  <c r="B1681"/>
  <c r="G1681"/>
  <c r="A1682"/>
  <c r="B1682"/>
  <c r="G1682"/>
  <c r="A1683"/>
  <c r="B1683"/>
  <c r="G1683"/>
  <c r="A1684"/>
  <c r="B1684"/>
  <c r="G1684"/>
  <c r="A1685"/>
  <c r="B1685"/>
  <c r="G1685"/>
  <c r="A1686"/>
  <c r="B1686"/>
  <c r="G1686"/>
  <c r="A1687"/>
  <c r="B1687"/>
  <c r="G1687"/>
  <c r="A1688"/>
  <c r="B1688"/>
  <c r="G1688"/>
  <c r="A1689"/>
  <c r="B1689"/>
  <c r="G1689"/>
  <c r="A1690"/>
  <c r="B1690"/>
  <c r="G1690"/>
  <c r="A1691"/>
  <c r="B1691"/>
  <c r="G1691"/>
  <c r="A1692"/>
  <c r="B1692"/>
  <c r="G1692"/>
  <c r="A1693"/>
  <c r="B1693"/>
  <c r="G1693"/>
  <c r="A1694"/>
  <c r="B1694"/>
  <c r="G1694"/>
  <c r="A1695"/>
  <c r="B1695"/>
  <c r="G1695"/>
  <c r="A1696"/>
  <c r="B1696"/>
  <c r="G1696"/>
  <c r="A1697"/>
  <c r="B1697"/>
  <c r="G1697"/>
  <c r="A1698"/>
  <c r="B1698"/>
  <c r="G1698"/>
  <c r="A1699"/>
  <c r="B1699"/>
  <c r="G1699"/>
  <c r="A1700"/>
  <c r="B1700"/>
  <c r="G1700"/>
  <c r="A1701"/>
  <c r="B1701"/>
  <c r="G1701"/>
  <c r="A1702"/>
  <c r="B1702"/>
  <c r="G1702"/>
  <c r="A1703"/>
  <c r="B1703"/>
  <c r="G1703"/>
  <c r="A1704"/>
  <c r="B1704"/>
  <c r="G1704"/>
  <c r="A1705"/>
  <c r="B1705"/>
  <c r="G1705"/>
  <c r="A1706"/>
  <c r="B1706"/>
  <c r="G1706"/>
  <c r="A1707"/>
  <c r="B1707"/>
  <c r="G1707"/>
  <c r="A1708"/>
  <c r="B1708"/>
  <c r="G1708"/>
  <c r="A1709"/>
  <c r="B1709"/>
  <c r="G1709"/>
  <c r="A1710"/>
  <c r="B1710"/>
  <c r="G1710"/>
  <c r="A1711"/>
  <c r="B1711"/>
  <c r="G1711"/>
  <c r="A1712"/>
  <c r="B1712"/>
  <c r="G1712"/>
  <c r="A1713"/>
  <c r="B1713"/>
  <c r="G1713"/>
  <c r="A1714"/>
  <c r="B1714"/>
  <c r="G1714"/>
  <c r="A1715"/>
  <c r="B1715"/>
  <c r="G1715"/>
  <c r="A1716"/>
  <c r="B1716"/>
  <c r="G1716"/>
  <c r="A1717"/>
  <c r="B1717"/>
  <c r="G1717"/>
  <c r="A1718"/>
  <c r="B1718"/>
  <c r="G1718"/>
  <c r="A1719"/>
  <c r="B1719"/>
  <c r="G1719"/>
  <c r="A1720"/>
  <c r="B1720"/>
  <c r="G1720"/>
  <c r="A1721"/>
  <c r="B1721"/>
  <c r="G1721"/>
  <c r="A1722"/>
  <c r="B1722"/>
  <c r="H1722"/>
  <c r="A1723"/>
  <c r="B1723"/>
  <c r="G1723"/>
  <c r="A1724"/>
  <c r="B1724"/>
  <c r="G1724"/>
  <c r="A1725"/>
  <c r="B1725"/>
  <c r="G1725"/>
  <c r="A1726"/>
  <c r="B1726"/>
  <c r="G1726"/>
  <c r="A1727"/>
  <c r="B1727"/>
  <c r="G1727"/>
  <c r="A1728"/>
  <c r="B1728"/>
  <c r="G1728"/>
  <c r="A1729"/>
  <c r="B1729"/>
  <c r="G1729"/>
  <c r="A1730"/>
  <c r="B1730"/>
  <c r="G1730"/>
  <c r="A1731"/>
  <c r="B1731"/>
  <c r="G1731"/>
  <c r="A1732"/>
  <c r="B1732"/>
  <c r="G1732"/>
  <c r="A1733"/>
  <c r="B1733"/>
  <c r="G1733"/>
  <c r="A1734"/>
  <c r="B1734"/>
  <c r="G1734"/>
  <c r="A1735"/>
  <c r="B1735"/>
  <c r="G1735"/>
  <c r="A1736"/>
  <c r="B1736"/>
  <c r="G1736"/>
  <c r="A1737"/>
  <c r="B1737"/>
  <c r="G1737"/>
  <c r="A1738"/>
  <c r="B1738"/>
  <c r="G1738"/>
  <c r="A1739"/>
  <c r="B1739"/>
  <c r="G1739"/>
  <c r="A1740"/>
  <c r="B1740"/>
  <c r="G1740"/>
  <c r="A1741"/>
  <c r="B1741"/>
  <c r="G1741"/>
  <c r="A1742"/>
  <c r="B1742"/>
  <c r="G1742"/>
  <c r="A1743"/>
  <c r="B1743"/>
  <c r="G1743"/>
  <c r="A1744"/>
  <c r="B1744"/>
  <c r="G1744"/>
  <c r="A1745"/>
  <c r="B1745"/>
  <c r="G1745"/>
  <c r="A1746"/>
  <c r="B1746"/>
  <c r="G1746"/>
  <c r="A1747"/>
  <c r="B1747"/>
  <c r="G1747"/>
  <c r="A1748"/>
  <c r="B1748"/>
  <c r="G1748"/>
  <c r="A1749"/>
  <c r="B1749"/>
  <c r="G1749"/>
  <c r="A1750"/>
  <c r="B1750"/>
  <c r="G1750"/>
  <c r="A1751"/>
  <c r="B1751"/>
  <c r="G1751"/>
  <c r="A1752"/>
  <c r="B1752"/>
  <c r="G1752"/>
  <c r="A1753"/>
  <c r="B1753"/>
  <c r="G1753"/>
  <c r="A1754"/>
  <c r="B1754"/>
  <c r="G1754"/>
  <c r="A1755"/>
  <c r="B1755"/>
  <c r="G1755"/>
  <c r="A1756"/>
  <c r="B1756"/>
  <c r="G1756"/>
  <c r="A1757"/>
  <c r="B1757"/>
  <c r="G1757"/>
  <c r="A1758"/>
  <c r="B1758"/>
  <c r="G1758"/>
  <c r="A1759"/>
  <c r="B1759"/>
  <c r="G1759"/>
  <c r="A1760"/>
  <c r="B1760"/>
  <c r="G1760"/>
  <c r="A1761"/>
  <c r="B1761"/>
  <c r="G1761"/>
  <c r="A1762"/>
  <c r="B1762"/>
  <c r="G1762"/>
  <c r="A1763"/>
  <c r="B1763"/>
  <c r="G1763"/>
  <c r="A1764"/>
  <c r="B1764"/>
  <c r="G1764"/>
  <c r="A1765"/>
  <c r="B1765"/>
  <c r="G1765"/>
  <c r="A1766"/>
  <c r="B1766"/>
  <c r="G1766"/>
  <c r="A1767"/>
  <c r="B1767"/>
  <c r="G1767"/>
  <c r="A1768"/>
  <c r="B1768"/>
  <c r="G1768"/>
  <c r="A1769"/>
  <c r="B1769"/>
  <c r="G1769"/>
  <c r="A1770"/>
  <c r="B1770"/>
  <c r="G1770"/>
  <c r="A1771"/>
  <c r="B1771"/>
  <c r="G1771"/>
  <c r="A1772"/>
  <c r="B1772"/>
  <c r="G1772"/>
  <c r="A1773"/>
  <c r="B1773"/>
  <c r="G1773"/>
  <c r="A1774"/>
  <c r="B1774"/>
  <c r="G1774"/>
  <c r="A1775"/>
  <c r="B1775"/>
  <c r="G1775"/>
  <c r="A1776"/>
  <c r="B1776"/>
  <c r="G1776"/>
  <c r="A1777"/>
  <c r="B1777"/>
  <c r="G1777"/>
  <c r="A1778"/>
  <c r="B1778"/>
  <c r="G1778"/>
  <c r="A1779"/>
  <c r="B1779"/>
  <c r="G1779"/>
  <c r="A1780"/>
  <c r="B1780"/>
  <c r="G1780"/>
  <c r="A1781"/>
  <c r="B1781"/>
  <c r="G1781"/>
  <c r="A1782"/>
  <c r="B1782"/>
  <c r="G1782"/>
  <c r="A1783"/>
  <c r="B1783"/>
  <c r="G1783"/>
  <c r="A1784"/>
  <c r="B1784"/>
  <c r="G1784"/>
  <c r="A1785"/>
  <c r="B1785"/>
  <c r="G1785"/>
  <c r="A1786"/>
  <c r="B1786"/>
  <c r="G1786"/>
  <c r="A1787"/>
  <c r="B1787"/>
  <c r="G1787"/>
  <c r="A1788"/>
  <c r="B1788"/>
  <c r="G1788"/>
  <c r="A1789"/>
  <c r="B1789"/>
  <c r="G1789"/>
  <c r="A1790"/>
  <c r="B1790"/>
  <c r="G1790"/>
  <c r="A1791"/>
  <c r="B1791"/>
  <c r="G1791"/>
  <c r="A1792"/>
  <c r="B1792"/>
  <c r="G1792"/>
  <c r="A1793"/>
  <c r="B1793"/>
  <c r="G1793"/>
  <c r="A1794"/>
  <c r="B1794"/>
  <c r="G1794"/>
  <c r="A1795"/>
  <c r="B1795"/>
  <c r="G1795"/>
  <c r="A1796"/>
  <c r="B1796"/>
  <c r="G1796"/>
  <c r="A1797"/>
  <c r="B1797"/>
  <c r="G1797"/>
  <c r="A1798"/>
  <c r="B1798"/>
  <c r="G1798"/>
  <c r="A1799"/>
  <c r="B1799"/>
  <c r="G1799"/>
  <c r="A1800"/>
  <c r="B1800"/>
  <c r="G1800"/>
  <c r="A1801"/>
  <c r="B1801"/>
  <c r="G1801"/>
  <c r="A1802"/>
  <c r="B1802"/>
  <c r="G1802"/>
  <c r="A1803"/>
  <c r="B1803"/>
  <c r="G1803"/>
  <c r="A1804"/>
  <c r="B1804"/>
  <c r="G1804"/>
  <c r="A1805"/>
  <c r="B1805"/>
  <c r="G1805"/>
  <c r="A1806"/>
  <c r="B1806"/>
  <c r="G1806"/>
  <c r="A1807"/>
  <c r="B1807"/>
  <c r="G1807"/>
  <c r="A1808"/>
  <c r="B1808"/>
  <c r="G1808"/>
  <c r="A1809"/>
  <c r="B1809"/>
  <c r="G1809"/>
  <c r="A1810"/>
  <c r="B1810"/>
  <c r="G1810"/>
  <c r="A1811"/>
  <c r="B1811"/>
  <c r="G1811"/>
  <c r="A1812"/>
  <c r="B1812"/>
  <c r="G1812"/>
  <c r="A1813"/>
  <c r="B1813"/>
  <c r="G1813"/>
  <c r="A1814"/>
  <c r="B1814"/>
  <c r="G1814"/>
  <c r="A1815"/>
  <c r="B1815"/>
  <c r="G1815"/>
  <c r="A1816"/>
  <c r="B1816"/>
  <c r="G1816"/>
  <c r="A1817"/>
  <c r="B1817"/>
  <c r="G1817"/>
  <c r="A1818"/>
  <c r="B1818"/>
  <c r="G1818"/>
  <c r="A1819"/>
  <c r="B1819"/>
  <c r="G1819"/>
  <c r="A1820"/>
  <c r="B1820"/>
  <c r="G1820"/>
  <c r="A1821"/>
  <c r="B1821"/>
  <c r="G1821"/>
  <c r="A1822"/>
  <c r="B1822"/>
  <c r="G1822"/>
  <c r="A1823"/>
  <c r="B1823"/>
  <c r="G1823"/>
  <c r="A1824"/>
  <c r="B1824"/>
  <c r="G1824"/>
  <c r="A1825"/>
  <c r="B1825"/>
  <c r="G1825"/>
  <c r="A1826"/>
  <c r="B1826"/>
  <c r="G1826"/>
  <c r="A1827"/>
  <c r="B1827"/>
  <c r="G1827"/>
  <c r="A1828"/>
  <c r="B1828"/>
  <c r="G1828"/>
  <c r="A1829"/>
  <c r="B1829"/>
  <c r="G1829"/>
  <c r="A1830"/>
  <c r="B1830"/>
  <c r="G1830"/>
  <c r="A1831"/>
  <c r="B1831"/>
  <c r="G1831"/>
  <c r="A1832"/>
  <c r="B1832"/>
  <c r="G1832"/>
  <c r="A1833"/>
  <c r="B1833"/>
  <c r="G1833"/>
  <c r="A1834"/>
  <c r="B1834"/>
  <c r="G1834"/>
  <c r="A1835"/>
  <c r="B1835"/>
  <c r="G1835"/>
  <c r="A1836"/>
  <c r="B1836"/>
  <c r="G1836"/>
  <c r="A1837"/>
  <c r="B1837"/>
  <c r="G1837"/>
  <c r="A1838"/>
  <c r="B1838"/>
  <c r="G1838"/>
  <c r="A1839"/>
  <c r="B1839"/>
  <c r="G1839"/>
  <c r="A1840"/>
  <c r="B1840"/>
  <c r="G1840"/>
  <c r="A1841"/>
  <c r="B1841"/>
  <c r="G1841"/>
  <c r="A1842"/>
  <c r="B1842"/>
  <c r="G1842"/>
  <c r="A1843"/>
  <c r="B1843"/>
  <c r="G1843"/>
  <c r="A1844"/>
  <c r="B1844"/>
  <c r="G1844"/>
  <c r="A1845"/>
  <c r="B1845"/>
  <c r="G1845"/>
  <c r="A1846"/>
  <c r="B1846"/>
  <c r="G1846"/>
  <c r="A1847"/>
  <c r="B1847"/>
  <c r="G1847"/>
  <c r="A1848"/>
  <c r="B1848"/>
  <c r="H1848"/>
  <c r="A1849"/>
  <c r="B1849"/>
  <c r="G1849"/>
  <c r="A1850"/>
  <c r="B1850"/>
  <c r="G1850"/>
  <c r="A1851"/>
  <c r="B1851"/>
  <c r="G1851"/>
  <c r="A1852"/>
  <c r="B1852"/>
  <c r="G1852"/>
  <c r="A1853"/>
  <c r="B1853"/>
  <c r="G1853"/>
  <c r="A1854"/>
  <c r="B1854"/>
  <c r="G1854"/>
  <c r="A1855"/>
  <c r="B1855"/>
  <c r="G1855"/>
  <c r="A1856"/>
  <c r="B1856"/>
  <c r="G1856"/>
  <c r="A1857"/>
  <c r="B1857"/>
  <c r="G1857"/>
  <c r="A1858"/>
  <c r="B1858"/>
  <c r="G1858"/>
  <c r="A1859"/>
  <c r="B1859"/>
  <c r="G1859"/>
  <c r="A1860"/>
  <c r="B1860"/>
  <c r="G1860"/>
  <c r="A1861"/>
  <c r="B1861"/>
  <c r="G1861"/>
  <c r="A1862"/>
  <c r="B1862"/>
  <c r="G1862"/>
  <c r="A1863"/>
  <c r="B1863"/>
  <c r="G1863"/>
  <c r="A1864"/>
  <c r="B1864"/>
  <c r="G1864"/>
  <c r="A1865"/>
  <c r="B1865"/>
  <c r="G1865"/>
  <c r="A1866"/>
  <c r="B1866"/>
  <c r="G1866"/>
  <c r="A1867"/>
  <c r="B1867"/>
  <c r="G1867"/>
  <c r="A1868"/>
  <c r="B1868"/>
  <c r="G1868"/>
  <c r="A1869"/>
  <c r="B1869"/>
  <c r="G1869"/>
  <c r="A1870"/>
  <c r="B1870"/>
  <c r="G1870"/>
  <c r="A1871"/>
  <c r="B1871"/>
  <c r="G1871"/>
  <c r="A1872"/>
  <c r="B1872"/>
  <c r="G1872"/>
  <c r="A1873"/>
  <c r="B1873"/>
  <c r="G1873"/>
  <c r="A1874"/>
  <c r="B1874"/>
  <c r="G1874"/>
  <c r="A1875"/>
  <c r="B1875"/>
  <c r="G1875"/>
  <c r="A1876"/>
  <c r="B1876"/>
  <c r="G1876"/>
  <c r="A1877"/>
  <c r="B1877"/>
  <c r="G1877"/>
  <c r="A1878"/>
  <c r="B1878"/>
  <c r="G1878"/>
  <c r="A1879"/>
  <c r="B1879"/>
  <c r="G1879"/>
  <c r="A1880"/>
  <c r="B1880"/>
  <c r="G1880"/>
  <c r="A1881"/>
  <c r="B1881"/>
  <c r="G1881"/>
  <c r="A1882"/>
  <c r="B1882"/>
  <c r="G1882"/>
  <c r="A1883"/>
  <c r="B1883"/>
  <c r="G1883"/>
  <c r="A1884"/>
  <c r="B1884"/>
  <c r="G1884"/>
  <c r="A1885"/>
  <c r="B1885"/>
  <c r="G1885"/>
  <c r="A1886"/>
  <c r="B1886"/>
  <c r="G1886"/>
  <c r="A1887"/>
  <c r="B1887"/>
  <c r="G1887"/>
  <c r="A1888"/>
  <c r="B1888"/>
  <c r="G1888"/>
  <c r="A1889"/>
  <c r="B1889"/>
  <c r="G1889"/>
  <c r="A1890"/>
  <c r="B1890"/>
  <c r="G1890"/>
  <c r="A1891"/>
  <c r="B1891"/>
  <c r="G1891"/>
  <c r="A1892"/>
  <c r="B1892"/>
  <c r="G1892"/>
  <c r="A1893"/>
  <c r="B1893"/>
  <c r="H1893"/>
  <c r="A1894"/>
  <c r="B1894"/>
  <c r="G1894"/>
  <c r="A1895"/>
  <c r="B1895"/>
  <c r="G1895"/>
  <c r="A1896"/>
  <c r="B1896"/>
  <c r="G1896"/>
  <c r="A1897"/>
  <c r="B1897"/>
  <c r="G1897"/>
  <c r="A1898"/>
  <c r="B1898"/>
  <c r="G1898"/>
  <c r="A1899"/>
  <c r="B1899"/>
  <c r="G1899"/>
  <c r="A1900"/>
  <c r="B1900"/>
  <c r="G1900"/>
  <c r="A1901"/>
  <c r="B1901"/>
  <c r="G1901"/>
  <c r="A1902"/>
  <c r="B1902"/>
  <c r="G1902"/>
  <c r="A1903"/>
  <c r="B1903"/>
  <c r="G1903"/>
  <c r="A1904"/>
  <c r="B1904"/>
  <c r="G1904"/>
  <c r="A1905"/>
  <c r="B1905"/>
  <c r="G1905"/>
  <c r="A1906"/>
  <c r="B1906"/>
  <c r="G1906"/>
  <c r="A1907"/>
  <c r="B1907"/>
  <c r="G1907"/>
  <c r="A1908"/>
  <c r="B1908"/>
  <c r="G1908"/>
  <c r="A1909"/>
  <c r="B1909"/>
  <c r="G1909"/>
  <c r="A1910"/>
  <c r="B1910"/>
  <c r="G1910"/>
  <c r="A1911"/>
  <c r="B1911"/>
  <c r="G1911"/>
  <c r="A1912"/>
  <c r="B1912"/>
  <c r="G1912"/>
  <c r="A1913"/>
  <c r="B1913"/>
  <c r="G1913"/>
  <c r="A1914"/>
  <c r="B1914"/>
  <c r="G1914"/>
  <c r="A1915"/>
  <c r="B1915"/>
  <c r="G1915"/>
  <c r="A1916"/>
  <c r="B1916"/>
  <c r="G1916"/>
  <c r="A1917"/>
  <c r="B1917"/>
  <c r="G1917"/>
  <c r="A1918"/>
  <c r="B1918"/>
  <c r="G1918"/>
  <c r="A1919"/>
  <c r="B1919"/>
  <c r="G1919"/>
  <c r="A1920"/>
  <c r="B1920"/>
  <c r="G1920"/>
  <c r="A1921"/>
  <c r="B1921"/>
  <c r="G1921"/>
  <c r="A1922"/>
  <c r="B1922"/>
  <c r="G1922"/>
  <c r="A1923"/>
  <c r="B1923"/>
  <c r="G1923"/>
  <c r="A1924"/>
  <c r="B1924"/>
  <c r="G1924"/>
  <c r="A1925"/>
  <c r="B1925"/>
  <c r="G1925"/>
  <c r="A1926"/>
  <c r="B1926"/>
  <c r="G1926"/>
  <c r="A1927"/>
  <c r="B1927"/>
  <c r="G1927"/>
  <c r="A1928"/>
  <c r="B1928"/>
  <c r="G1928"/>
  <c r="A1929"/>
  <c r="B1929"/>
  <c r="G1929"/>
  <c r="A1930"/>
  <c r="B1930"/>
  <c r="G1930"/>
  <c r="A1931"/>
  <c r="B1931"/>
  <c r="G1931"/>
  <c r="A1932"/>
  <c r="B1932"/>
  <c r="H1932"/>
  <c r="A1933"/>
  <c r="B1933"/>
  <c r="G1933"/>
  <c r="A1934"/>
  <c r="B1934"/>
  <c r="G1934"/>
  <c r="A1935"/>
  <c r="B1935"/>
  <c r="G1935"/>
  <c r="A1936"/>
  <c r="B1936"/>
  <c r="G1936"/>
  <c r="A1937"/>
  <c r="B1937"/>
  <c r="G1937"/>
  <c r="A1938"/>
  <c r="B1938"/>
  <c r="G1938"/>
  <c r="A1939"/>
  <c r="B1939"/>
  <c r="G1939"/>
  <c r="A1940"/>
  <c r="B1940"/>
  <c r="G1940"/>
  <c r="A1941"/>
  <c r="B1941"/>
  <c r="G1941"/>
  <c r="A1942"/>
  <c r="B1942"/>
  <c r="G1942"/>
  <c r="A1943"/>
  <c r="B1943"/>
  <c r="G1943"/>
  <c r="A1944"/>
  <c r="B1944"/>
  <c r="G1944"/>
  <c r="A1945"/>
  <c r="B1945"/>
  <c r="G1945"/>
  <c r="A1946"/>
  <c r="B1946"/>
  <c r="G1946"/>
  <c r="A1947"/>
  <c r="B1947"/>
  <c r="G1947"/>
  <c r="A1948"/>
  <c r="B1948"/>
  <c r="G1948"/>
  <c r="A1949"/>
  <c r="B1949"/>
  <c r="G1949"/>
  <c r="A1950"/>
  <c r="B1950"/>
  <c r="G1950"/>
  <c r="A1951"/>
  <c r="B1951"/>
  <c r="G1951"/>
  <c r="A1952"/>
  <c r="B1952"/>
  <c r="G1952"/>
  <c r="A1953"/>
  <c r="B1953"/>
  <c r="G1953"/>
  <c r="A1954"/>
  <c r="B1954"/>
  <c r="G1954"/>
  <c r="A1955"/>
  <c r="B1955"/>
  <c r="G1955"/>
  <c r="A1956"/>
  <c r="B1956"/>
  <c r="G1956"/>
  <c r="A1957"/>
  <c r="B1957"/>
  <c r="G1957"/>
  <c r="A1958"/>
  <c r="B1958"/>
  <c r="G1958"/>
  <c r="A1959"/>
  <c r="B1959"/>
  <c r="G1959"/>
  <c r="A1960"/>
  <c r="B1960"/>
  <c r="G1960"/>
  <c r="A1961"/>
  <c r="B1961"/>
  <c r="H1961"/>
  <c r="A1962"/>
  <c r="B1962"/>
  <c r="G1962"/>
  <c r="A1963"/>
  <c r="B1963"/>
  <c r="G1963"/>
  <c r="A1964"/>
  <c r="B1964"/>
  <c r="G1964"/>
  <c r="A1965"/>
  <c r="B1965"/>
  <c r="G1965"/>
  <c r="A1966"/>
  <c r="B1966"/>
  <c r="G1966"/>
  <c r="A1967"/>
  <c r="B1967"/>
  <c r="G1967"/>
  <c r="A1968"/>
  <c r="B1968"/>
  <c r="G1968"/>
  <c r="A1969"/>
  <c r="B1969"/>
  <c r="G1969"/>
  <c r="A1970"/>
  <c r="B1970"/>
  <c r="G1970"/>
  <c r="A1971"/>
  <c r="B1971"/>
  <c r="G1971"/>
  <c r="A1972"/>
  <c r="B1972"/>
  <c r="G1972"/>
  <c r="A1973"/>
  <c r="B1973"/>
  <c r="G1973"/>
  <c r="A1974"/>
  <c r="B1974"/>
  <c r="G1974"/>
  <c r="A1975"/>
  <c r="B1975"/>
  <c r="G1975"/>
  <c r="A1976"/>
  <c r="B1976"/>
  <c r="G1976"/>
  <c r="A1977"/>
  <c r="B1977"/>
  <c r="G1977"/>
  <c r="A1978"/>
  <c r="B1978"/>
  <c r="G1978"/>
  <c r="A1979"/>
  <c r="B1979"/>
  <c r="G1979"/>
  <c r="A1980"/>
  <c r="B1980"/>
  <c r="G1980"/>
  <c r="A1981"/>
  <c r="B1981"/>
  <c r="G1981"/>
  <c r="A1982"/>
  <c r="B1982"/>
  <c r="G1982"/>
  <c r="A1983"/>
  <c r="B1983"/>
  <c r="G1983"/>
  <c r="A1984"/>
  <c r="B1984"/>
  <c r="G1984"/>
  <c r="A1985"/>
  <c r="B1985"/>
  <c r="G1985"/>
  <c r="A1986"/>
  <c r="B1986"/>
  <c r="G1986"/>
  <c r="A1987"/>
  <c r="B1987"/>
  <c r="G1987"/>
  <c r="A1988"/>
  <c r="B1988"/>
  <c r="G1988"/>
  <c r="A1989"/>
  <c r="B1989"/>
  <c r="G1989"/>
  <c r="A1990"/>
  <c r="B1990"/>
  <c r="G1990"/>
  <c r="A1991"/>
  <c r="B1991"/>
  <c r="G1991"/>
  <c r="A1992"/>
  <c r="B1992"/>
  <c r="G1992"/>
  <c r="A1993"/>
  <c r="B1993"/>
  <c r="G1993"/>
  <c r="A1994"/>
  <c r="B1994"/>
  <c r="G1994"/>
  <c r="A1995"/>
  <c r="B1995"/>
  <c r="G1995"/>
  <c r="A1996"/>
  <c r="B1996"/>
  <c r="G1996"/>
  <c r="A1997"/>
  <c r="B1997"/>
  <c r="G1997"/>
  <c r="A1998"/>
  <c r="B1998"/>
  <c r="G1998"/>
  <c r="A1999"/>
  <c r="B1999"/>
  <c r="G1999"/>
  <c r="A2000"/>
  <c r="B2000"/>
  <c r="G2000"/>
  <c r="A2001"/>
  <c r="B2001"/>
  <c r="G2001"/>
  <c r="A2002"/>
  <c r="B2002"/>
  <c r="G2002"/>
  <c r="A2003"/>
  <c r="B2003"/>
  <c r="G2003"/>
  <c r="A2004"/>
  <c r="B2004"/>
  <c r="G2004"/>
  <c r="A2005"/>
  <c r="B2005"/>
  <c r="G2005"/>
  <c r="A2006"/>
  <c r="B2006"/>
  <c r="G2006"/>
  <c r="A2007"/>
  <c r="B2007"/>
  <c r="G2007"/>
  <c r="A2008"/>
  <c r="B2008"/>
  <c r="G2008"/>
  <c r="A2009"/>
  <c r="B2009"/>
  <c r="G2009"/>
  <c r="A2010"/>
  <c r="B2010"/>
  <c r="G2010"/>
  <c r="A2011"/>
  <c r="B2011"/>
  <c r="G2011"/>
  <c r="A2012"/>
  <c r="B2012"/>
  <c r="G2012"/>
  <c r="A2013"/>
  <c r="B2013"/>
  <c r="G2013"/>
  <c r="A2014"/>
  <c r="B2014"/>
  <c r="G2014"/>
  <c r="A2015"/>
  <c r="B2015"/>
  <c r="G2015"/>
  <c r="A2016"/>
  <c r="B2016"/>
  <c r="G2016"/>
  <c r="A2017"/>
  <c r="B2017"/>
  <c r="G2017"/>
  <c r="A2018"/>
  <c r="B2018"/>
  <c r="G2018"/>
  <c r="A2019"/>
  <c r="B2019"/>
  <c r="G2019"/>
  <c r="A2020"/>
  <c r="B2020"/>
  <c r="G2020"/>
  <c r="A2021"/>
  <c r="B2021"/>
  <c r="G2021"/>
  <c r="A2022"/>
  <c r="B2022"/>
  <c r="G2022"/>
  <c r="A2023"/>
  <c r="B2023"/>
  <c r="G2023"/>
  <c r="A2024"/>
  <c r="B2024"/>
  <c r="G2024"/>
  <c r="A2025"/>
  <c r="B2025"/>
  <c r="G2025"/>
  <c r="A2026"/>
  <c r="B2026"/>
  <c r="G2026"/>
  <c r="A2027"/>
  <c r="B2027"/>
  <c r="G2027"/>
  <c r="A2028"/>
  <c r="B2028"/>
  <c r="G2028"/>
  <c r="A2029"/>
  <c r="B2029"/>
  <c r="G2029"/>
  <c r="A2030"/>
  <c r="B2030"/>
  <c r="G2030"/>
  <c r="A2031"/>
  <c r="B2031"/>
  <c r="G2031"/>
  <c r="A2032"/>
  <c r="B2032"/>
  <c r="G2032"/>
  <c r="A2033"/>
  <c r="B2033"/>
  <c r="G2033"/>
  <c r="A2034"/>
  <c r="B2034"/>
  <c r="G2034"/>
  <c r="A2035"/>
  <c r="B2035"/>
  <c r="G2035"/>
  <c r="A2036"/>
  <c r="B2036"/>
  <c r="G2036"/>
  <c r="A2037"/>
  <c r="B2037"/>
  <c r="G2037"/>
  <c r="A2038"/>
  <c r="B2038"/>
  <c r="G2038"/>
  <c r="A2039"/>
  <c r="B2039"/>
  <c r="G2039"/>
  <c r="A2040"/>
  <c r="B2040"/>
  <c r="G2040"/>
  <c r="A2041"/>
  <c r="B2041"/>
  <c r="G2041"/>
  <c r="A2042"/>
  <c r="B2042"/>
  <c r="G2042"/>
  <c r="A2043"/>
  <c r="B2043"/>
  <c r="G2043"/>
  <c r="A2044"/>
  <c r="B2044"/>
  <c r="G2044"/>
  <c r="A2045"/>
  <c r="B2045"/>
  <c r="G2045"/>
  <c r="A2046"/>
  <c r="B2046"/>
  <c r="G2046"/>
  <c r="A2047"/>
  <c r="B2047"/>
  <c r="G2047"/>
  <c r="A2048"/>
  <c r="B2048"/>
  <c r="G2048"/>
  <c r="A2049"/>
  <c r="B2049"/>
  <c r="G2049"/>
  <c r="A2050"/>
  <c r="B2050"/>
  <c r="G2050"/>
  <c r="A2051"/>
  <c r="B2051"/>
  <c r="G2051"/>
  <c r="A2052"/>
  <c r="B2052"/>
  <c r="G2052"/>
  <c r="A2053"/>
  <c r="B2053"/>
  <c r="G2053"/>
  <c r="A2054"/>
  <c r="B2054"/>
  <c r="G2054"/>
  <c r="A2055"/>
  <c r="B2055"/>
  <c r="G2055"/>
  <c r="A2056"/>
  <c r="B2056"/>
  <c r="G2056"/>
  <c r="A2057"/>
  <c r="B2057"/>
  <c r="G2057"/>
  <c r="A2058"/>
  <c r="B2058"/>
  <c r="G2058"/>
  <c r="A2059"/>
  <c r="B2059"/>
  <c r="G2059"/>
  <c r="A2060"/>
  <c r="B2060"/>
  <c r="G2060"/>
  <c r="A2061"/>
  <c r="B2061"/>
  <c r="G2061"/>
  <c r="A2062"/>
  <c r="B2062"/>
  <c r="G2062"/>
  <c r="A2063"/>
  <c r="B2063"/>
  <c r="G2063"/>
  <c r="A2064"/>
  <c r="B2064"/>
  <c r="G2064"/>
  <c r="A2065"/>
  <c r="B2065"/>
  <c r="G2065"/>
  <c r="A2066"/>
  <c r="B2066"/>
  <c r="G2066"/>
  <c r="A2067"/>
  <c r="B2067"/>
  <c r="G2067"/>
  <c r="A2068"/>
  <c r="B2068"/>
  <c r="G2068"/>
  <c r="A2069"/>
  <c r="B2069"/>
  <c r="G2069"/>
  <c r="A2070"/>
  <c r="B2070"/>
  <c r="G2070"/>
  <c r="A2071"/>
  <c r="B2071"/>
  <c r="G2071"/>
  <c r="A2072"/>
  <c r="B2072"/>
  <c r="G2072"/>
  <c r="A2073"/>
  <c r="B2073"/>
  <c r="G2073"/>
  <c r="A2074"/>
  <c r="B2074"/>
  <c r="G2074"/>
  <c r="A2075"/>
  <c r="B2075"/>
  <c r="G2075"/>
  <c r="A2076"/>
  <c r="B2076"/>
  <c r="G2076"/>
  <c r="A2077"/>
  <c r="B2077"/>
  <c r="G2077"/>
  <c r="A2078"/>
  <c r="B2078"/>
  <c r="G2078"/>
  <c r="A2079"/>
  <c r="B2079"/>
  <c r="G2079"/>
  <c r="A2080"/>
  <c r="B2080"/>
  <c r="G2080"/>
  <c r="A2081"/>
  <c r="B2081"/>
  <c r="G2081"/>
  <c r="A2082"/>
  <c r="B2082"/>
  <c r="G2082"/>
  <c r="A2083"/>
  <c r="B2083"/>
  <c r="G2083"/>
  <c r="A2084"/>
  <c r="B2084"/>
  <c r="G2084"/>
  <c r="A2085"/>
  <c r="B2085"/>
  <c r="G2085"/>
  <c r="A2086"/>
  <c r="B2086"/>
  <c r="G2086"/>
  <c r="A2087"/>
  <c r="B2087"/>
  <c r="G2087"/>
  <c r="A2088"/>
  <c r="B2088"/>
  <c r="G2088"/>
  <c r="A2089"/>
  <c r="B2089"/>
  <c r="G2089"/>
  <c r="A2090"/>
  <c r="B2090"/>
  <c r="G2090"/>
  <c r="A2091"/>
  <c r="B2091"/>
  <c r="G2091"/>
  <c r="A2092"/>
  <c r="B2092"/>
  <c r="G2092"/>
  <c r="A2093"/>
  <c r="B2093"/>
  <c r="G2093"/>
  <c r="A2094"/>
  <c r="B2094"/>
  <c r="G2094"/>
  <c r="A2095"/>
  <c r="B2095"/>
  <c r="H2095"/>
  <c r="A2096"/>
  <c r="B2096"/>
  <c r="G2096"/>
  <c r="A2097"/>
  <c r="B2097"/>
  <c r="G2097"/>
  <c r="A2098"/>
  <c r="B2098"/>
  <c r="G2098"/>
  <c r="A2099"/>
  <c r="B2099"/>
  <c r="G2099"/>
  <c r="A2100"/>
  <c r="B2100"/>
  <c r="G2100"/>
  <c r="A2101"/>
  <c r="B2101"/>
  <c r="G2101"/>
  <c r="A2102"/>
  <c r="B2102"/>
  <c r="G2102"/>
  <c r="A2103"/>
  <c r="B2103"/>
  <c r="G2103"/>
  <c r="A2104"/>
  <c r="B2104"/>
  <c r="G2104"/>
  <c r="A2105"/>
  <c r="B2105"/>
  <c r="G2105"/>
  <c r="A2106"/>
  <c r="B2106"/>
  <c r="G2106"/>
  <c r="A2107"/>
  <c r="B2107"/>
  <c r="G2107"/>
  <c r="A2108"/>
  <c r="B2108"/>
  <c r="G2108"/>
  <c r="A2109"/>
  <c r="B2109"/>
  <c r="G2109"/>
  <c r="A2110"/>
  <c r="B2110"/>
  <c r="G2110"/>
  <c r="A2111"/>
  <c r="B2111"/>
  <c r="G2111"/>
  <c r="A2112"/>
  <c r="B2112"/>
  <c r="G2112"/>
  <c r="A2113"/>
  <c r="B2113"/>
  <c r="G2113"/>
  <c r="A2114"/>
  <c r="B2114"/>
  <c r="G2114"/>
  <c r="A2115"/>
  <c r="B2115"/>
  <c r="G2115"/>
  <c r="A2116"/>
  <c r="B2116"/>
  <c r="G2116"/>
  <c r="A2117"/>
  <c r="B2117"/>
  <c r="G2117"/>
  <c r="A2118"/>
  <c r="B2118"/>
  <c r="G2118"/>
  <c r="A2119"/>
  <c r="B2119"/>
  <c r="G2119"/>
  <c r="A2120"/>
  <c r="B2120"/>
  <c r="G2120"/>
  <c r="A2121"/>
  <c r="B2121"/>
  <c r="G2121"/>
  <c r="A2122"/>
  <c r="B2122"/>
  <c r="G2122"/>
  <c r="A2123"/>
  <c r="B2123"/>
  <c r="G2123"/>
  <c r="A2124"/>
  <c r="B2124"/>
  <c r="G2124"/>
  <c r="A2125"/>
  <c r="B2125"/>
  <c r="G2125"/>
  <c r="A2126"/>
  <c r="B2126"/>
  <c r="G2126"/>
  <c r="A2127"/>
  <c r="B2127"/>
  <c r="G2127"/>
  <c r="A2128"/>
  <c r="B2128"/>
  <c r="G2128"/>
  <c r="A2129"/>
  <c r="B2129"/>
  <c r="G2129"/>
  <c r="A2130"/>
  <c r="B2130"/>
  <c r="G2130"/>
  <c r="A2131"/>
  <c r="B2131"/>
  <c r="G2131"/>
  <c r="A2132"/>
  <c r="B2132"/>
  <c r="G2132"/>
  <c r="A2133"/>
  <c r="B2133"/>
  <c r="G2133"/>
  <c r="A2134"/>
  <c r="B2134"/>
  <c r="G2134"/>
  <c r="A2135"/>
  <c r="B2135"/>
  <c r="G2135"/>
  <c r="A2136"/>
  <c r="B2136"/>
  <c r="G2136"/>
  <c r="A2137"/>
  <c r="B2137"/>
  <c r="G2137"/>
  <c r="A2138"/>
  <c r="B2138"/>
  <c r="G2138"/>
  <c r="A2139"/>
  <c r="B2139"/>
  <c r="G2139"/>
  <c r="A2140"/>
  <c r="B2140"/>
  <c r="G2140"/>
  <c r="A2141"/>
  <c r="B2141"/>
  <c r="H2141"/>
  <c r="A2142"/>
  <c r="B2142"/>
  <c r="G2142"/>
  <c r="A2143"/>
  <c r="B2143"/>
  <c r="G2143"/>
  <c r="A2144"/>
  <c r="B2144"/>
  <c r="G2144"/>
  <c r="A2145"/>
  <c r="B2145"/>
  <c r="G2145"/>
  <c r="A2146"/>
  <c r="B2146"/>
  <c r="G2146"/>
  <c r="A2147"/>
  <c r="B2147"/>
  <c r="G2147"/>
  <c r="A2148"/>
  <c r="B2148"/>
  <c r="G2148"/>
  <c r="A2149"/>
  <c r="B2149"/>
  <c r="G2149"/>
  <c r="A2150"/>
  <c r="B2150"/>
  <c r="G2150"/>
  <c r="A2151"/>
  <c r="B2151"/>
  <c r="G2151"/>
  <c r="A2152"/>
  <c r="B2152"/>
  <c r="G2152"/>
  <c r="A2153"/>
  <c r="B2153"/>
  <c r="G2153"/>
  <c r="A2154"/>
  <c r="B2154"/>
  <c r="G2154"/>
  <c r="A2155"/>
  <c r="B2155"/>
  <c r="G2155"/>
  <c r="A2156"/>
  <c r="B2156"/>
  <c r="G2156"/>
  <c r="A2157"/>
  <c r="B2157"/>
  <c r="G2157"/>
  <c r="A2158"/>
  <c r="B2158"/>
  <c r="G2158"/>
  <c r="A2159"/>
  <c r="B2159"/>
  <c r="G2159"/>
  <c r="A2160"/>
  <c r="B2160"/>
  <c r="G2160"/>
  <c r="A2161"/>
  <c r="B2161"/>
  <c r="G2161"/>
  <c r="A2162"/>
  <c r="B2162"/>
  <c r="G2162"/>
  <c r="A2163"/>
  <c r="B2163"/>
  <c r="G2163"/>
  <c r="A2164"/>
  <c r="B2164"/>
  <c r="G2164"/>
  <c r="A2165"/>
  <c r="B2165"/>
  <c r="G2165"/>
  <c r="A2166"/>
  <c r="B2166"/>
  <c r="G2166"/>
  <c r="A2167"/>
  <c r="B2167"/>
  <c r="G2167"/>
  <c r="A2168"/>
  <c r="B2168"/>
  <c r="G2168"/>
  <c r="A2169"/>
  <c r="B2169"/>
  <c r="G2169"/>
  <c r="A2170"/>
  <c r="B2170"/>
  <c r="G2170"/>
  <c r="A2171"/>
  <c r="B2171"/>
  <c r="G2171"/>
  <c r="A2172"/>
  <c r="B2172"/>
  <c r="G2172"/>
  <c r="A2173"/>
  <c r="B2173"/>
  <c r="G2173"/>
</calcChain>
</file>

<file path=xl/sharedStrings.xml><?xml version="1.0" encoding="utf-8"?>
<sst xmlns="http://schemas.openxmlformats.org/spreadsheetml/2006/main" count="13135" uniqueCount="2145">
  <si>
    <t>CIG</t>
  </si>
  <si>
    <t>Codice fiscale struttura proponente</t>
  </si>
  <si>
    <t>Denominazione struttura proponente</t>
  </si>
  <si>
    <t>Gruppo</t>
  </si>
  <si>
    <t>Descrizione lotto</t>
  </si>
  <si>
    <t>Tipologia di gara</t>
  </si>
  <si>
    <t>Partecipante (codice fiscale)</t>
  </si>
  <si>
    <t>Partecipante (identificativo estero)</t>
  </si>
  <si>
    <t>Partecipante (ragione sociale)</t>
  </si>
  <si>
    <t>RTI di appartenenza</t>
  </si>
  <si>
    <t>Tipo membro RTI</t>
  </si>
  <si>
    <t>Aggiudicatario (SI/NO)</t>
  </si>
  <si>
    <t>Importo aggiudicato</t>
  </si>
  <si>
    <t>Azienda USL di Bologna</t>
  </si>
  <si>
    <t>Azienda Ospedaliera Univ. di Bologna</t>
  </si>
  <si>
    <t>Istituto Ortopedico Rizzoli</t>
  </si>
  <si>
    <t>Azienda USL di Imola</t>
  </si>
  <si>
    <t>Azienda USL di Ferrara</t>
  </si>
  <si>
    <t>Azienda Ospedaliera Univ. di Ferrara</t>
  </si>
  <si>
    <t>Azienda USL della Romagna</t>
  </si>
  <si>
    <t>ASP SENECA</t>
  </si>
  <si>
    <t>ASC INSIEME</t>
  </si>
  <si>
    <t>AVEN</t>
  </si>
  <si>
    <t>Azienda Montecatone</t>
  </si>
  <si>
    <t>Azienda USL di Parma</t>
  </si>
  <si>
    <t>Azienda Ospedaliera di Modena</t>
  </si>
  <si>
    <t>Azienda Ospedaliera di Parma</t>
  </si>
  <si>
    <t>Azienda Ospedaliera di Reggio Emilia</t>
  </si>
  <si>
    <t>AUSL di Piacenza</t>
  </si>
  <si>
    <t>AUSL di Cesena</t>
  </si>
  <si>
    <t>Azienda USL di Modena</t>
  </si>
  <si>
    <t>Azienda USL di Reggio Emilia</t>
  </si>
  <si>
    <t>Importo versato</t>
  </si>
  <si>
    <t>Data inizio fornitura</t>
  </si>
  <si>
    <t>Data fine fornitura</t>
  </si>
  <si>
    <t>Data indizione lotto</t>
  </si>
  <si>
    <t>Note</t>
  </si>
  <si>
    <t>DIP.TECNICO-PATRIMONIALE-ADT</t>
  </si>
  <si>
    <t>RINNOVO CAR SHARING PER AUSLBO-DET. 2084 DEL 28.08.2023</t>
  </si>
  <si>
    <t>04-PROCEDURA NEGOZIATA SENZA PREVIA PUBBLICAZIONE</t>
  </si>
  <si>
    <t>SAM - CENTRALE UNICA</t>
  </si>
  <si>
    <t>contratto ponte farmaco esclusovo Erleada</t>
  </si>
  <si>
    <t>Janssen-cilag spa</t>
  </si>
  <si>
    <t>SI</t>
  </si>
  <si>
    <t>contratto ponte farmaco esclusivo Dovato</t>
  </si>
  <si>
    <t>VIIVHEALTHCARE SRL</t>
  </si>
  <si>
    <t>contratto ponte farmaco esclusivo enhertu</t>
  </si>
  <si>
    <t>DAIICHI SANKYO ITALIA SPA</t>
  </si>
  <si>
    <t>P.N. MICROSFERE IN RESINA SIR SPHERES</t>
  </si>
  <si>
    <t>SIRTEX Med. Europe Gmbh (Germany)</t>
  </si>
  <si>
    <t>Riscatto e aggiornamento acceleratore lineare</t>
  </si>
  <si>
    <t>03-PROCEDURA NEGOZIATA PREVIA PUBBLICAZIONE</t>
  </si>
  <si>
    <t>Elekta S.p.A.</t>
  </si>
  <si>
    <t>CONTRATTO PONTESERVICE PRODOTTI NUTRIZIONE ENTERALE</t>
  </si>
  <si>
    <t>SAPIO LIFE S.R.L.</t>
  </si>
  <si>
    <t>Rinnovo incremento fornitura materiale consumo dialisi peritoneale AOUBO</t>
  </si>
  <si>
    <t>BAXTER  S.p.A. - DIVISIONE MEDICATION DELIVERY - ROMA</t>
  </si>
  <si>
    <t>AUBO Affidamento diretto fornitura dispositivo a completamento/aggiornamento sistema SANGER 3730 per analisi in elettroforesi capillare Laboratorio di Genetica aubo</t>
  </si>
  <si>
    <t>Life Technologies Italia Fil. Life Technologies Europe B.V.</t>
  </si>
  <si>
    <t>Esito AD acquisizione servizi manutenzione e assistenza sw gestione Rete Regionale trapianti ER</t>
  </si>
  <si>
    <t>Softime 90 S.r.l.</t>
  </si>
  <si>
    <t>Contratto Ponte Farmaco Esclusivo Padcev</t>
  </si>
  <si>
    <t>Astellas Pharma S.p.A.</t>
  </si>
  <si>
    <t>RINNOVO 4 ANNI SERVICE SISTEMA AUTOMATIZZATO TIPIZZAZIONE GENOMICA HLA LUMINEX AOU BO</t>
  </si>
  <si>
    <t>LAGITRE SRL</t>
  </si>
  <si>
    <t xml:space="preserve">rinnovo annuale KIT MITRACLIPS SYSTEM </t>
  </si>
  <si>
    <t>Abbott Medical Italia srl</t>
  </si>
  <si>
    <t xml:space="preserve"> 	LOTTO1 dispositivo Injection Gold probe</t>
  </si>
  <si>
    <t>BOSTON SCIENTIFIC S.P.A.</t>
  </si>
  <si>
    <t xml:space="preserve"> 	LOTTO 2 dispositivo Hot axios</t>
  </si>
  <si>
    <t>MACHERA TESTA/COLLO ex lotto1</t>
  </si>
  <si>
    <t>Radius S.r.l.</t>
  </si>
  <si>
    <t>MASCHERA TESTA/COLLO/SPALLE ex lotto2</t>
  </si>
  <si>
    <t xml:space="preserve"> 	MASCHERA PEDIATRICA TESTA/COLLO/SPALLE ex lotto3</t>
  </si>
  <si>
    <t>MASCHERA PER STEREOTASSI ex lotto4</t>
  </si>
  <si>
    <t>D.D.E. Dynamic Devices Europe</t>
  </si>
  <si>
    <t>BOLUS 15X15 SPESS.05 ex lotto5</t>
  </si>
  <si>
    <t>BOLUS 15X15 SPESS.1 ex lotto6</t>
  </si>
  <si>
    <t xml:space="preserve"> 	BOLUS RIGIDO ex lotto9</t>
  </si>
  <si>
    <t xml:space="preserve"> 	lotto 1 GE cassette</t>
  </si>
  <si>
    <t>GE HEALTHCARE SRL</t>
  </si>
  <si>
    <t>lotto 2 RADIUS cassette+ KIT freddo PSMA</t>
  </si>
  <si>
    <t>Contratto Ponte lotti deserti in procedure intercenter medicinali e radiofarmaci 23-25 e 23-25_2</t>
  </si>
  <si>
    <t>ABBVIE S.r.l.</t>
  </si>
  <si>
    <t>Albireo AB</t>
  </si>
  <si>
    <t>INDUSTRIA TERAPEUTICA SPLENDORE ALFA INTES</t>
  </si>
  <si>
    <t>SUTURE CHIRURGICHE Contratto ponte</t>
  </si>
  <si>
    <t>B.BRAUN MILANO SPA</t>
  </si>
  <si>
    <t>JOHNSON &amp; JOHNSON MEDICAL S.p.A.</t>
  </si>
  <si>
    <t>ALLOGA (ITALIA) SRL</t>
  </si>
  <si>
    <t>ECUPHARMA S.R.L.</t>
  </si>
  <si>
    <t>Junia Pharma srl</t>
  </si>
  <si>
    <t>MEDTRONIC ITALIA SPA</t>
  </si>
  <si>
    <t>Leo Pharma S.p.A.</t>
  </si>
  <si>
    <t>MSD ITALIA SRL</t>
  </si>
  <si>
    <t>ESPANSIONE MARKETING S.P.A</t>
  </si>
  <si>
    <t>NORGINE ITALIA S.R.L.</t>
  </si>
  <si>
    <t>PFIZER SRL</t>
  </si>
  <si>
    <t>S.A.L.F. S.P.A.</t>
  </si>
  <si>
    <t>Scharper S.p.A.</t>
  </si>
  <si>
    <t>NO</t>
  </si>
  <si>
    <t>THERAMEX ITALY S.R.L.</t>
  </si>
  <si>
    <t>Theriaca S.r.l.</t>
  </si>
  <si>
    <t>FELT CHIRURGICI IN PTFE</t>
  </si>
  <si>
    <t>BECTON DICKINSON ITALIA SPA</t>
  </si>
  <si>
    <t>Proroga tecnica al 06.03.2024 (ex affidamento diretto di cui a DETE 347/2023)</t>
  </si>
  <si>
    <t>PROORGA PROTESI VASCOLARI PTFE PROPATEN</t>
  </si>
  <si>
    <t>W.L. GORE &amp; ASSOCIATI</t>
  </si>
  <si>
    <t>PROORGA PROTESI VASCOLARI MEDICATE GELWEAVE</t>
  </si>
  <si>
    <t>SEROM MEDICAL TECHNOLOGY S.R.L.</t>
  </si>
  <si>
    <t>PROROGA PROTESI VASCOLARI E PATCH</t>
  </si>
  <si>
    <t>ARS CHIRURGICA SRL</t>
  </si>
  <si>
    <t>LEMAITRE VASCULAR SRL</t>
  </si>
  <si>
    <t>Serom Medical Technology Srl</t>
  </si>
  <si>
    <t>W.L.GORE E ASSOCIATI S.R.L.</t>
  </si>
  <si>
    <t>Rinnovo secondo anno serv. di mediazione linguistica e culturale e serv. traduzioni per le Aziende Sanitarie di Bologna - lotto 1</t>
  </si>
  <si>
    <t>Eurostreet SocietÃ  Cooperativa</t>
  </si>
  <si>
    <t>Rinnovo secondo anno serv. di mediazione linguistica e culturale e serv. traduzioni per le Aziende Sanitarie di Ferrara - lotto 2</t>
  </si>
  <si>
    <t>CIDAS SOC. COOP. A R.L.</t>
  </si>
  <si>
    <t>STENT VASCOLARI PERIFERICI Contratto ponte</t>
  </si>
  <si>
    <t>COOK ITALIA</t>
  </si>
  <si>
    <t>CROSSMED</t>
  </si>
  <si>
    <t>Getinge Italia Srl</t>
  </si>
  <si>
    <t>STENT VASCOLARI PERIFERICI Contratto pont</t>
  </si>
  <si>
    <t>SEDA SPA</t>
  </si>
  <si>
    <t>Terumo Italia S.r.l.</t>
  </si>
  <si>
    <t>FORNITURA ANNUALE DI COMBO KIT PER MICROINFUSORI PER LE ESIGENZE DELLA AZIENDA USL DI BOLOGNA E IMOLA</t>
  </si>
  <si>
    <t>MOVI S.P.A.</t>
  </si>
  <si>
    <t>Rinnovo Lotto 1) CRA - Gestione attivitÃ  multidisciplinari di consulenza e progettazione per il sostegno alle autonomie delle disabilitÃ  - DSM AUSL BO</t>
  </si>
  <si>
    <t>ASSOCIAZIONE ITALIANA ASSISTENZA SPASTICI PROVINCIA DI BOLOGNA ONLUS</t>
  </si>
  <si>
    <t>Rinnovo Lotto 2) CAAD - Gestione attivitÃ  multidisciplinari di consulenza e progettazione per il sostegno alle autonomie delle disabilitÃ  - DASS AUSL BO e AUSL IMOLA</t>
  </si>
  <si>
    <t>Proroga tecnica contrattualmente prevista fornitura sistemi smaltimento materiali biologici per Ausl Bo e AOU Bo</t>
  </si>
  <si>
    <t>33-PROCEDURA NEGOZIATA PER AFFIDAMENTI SOTTO SOGLIA</t>
  </si>
  <si>
    <t>Promos S.p.A.</t>
  </si>
  <si>
    <t>Contratto ponte per la fornitura di detergenti, cosmetici per Ausl Bo, AOU Bo, Ausl Imola, IOR - Ditta Italchim</t>
  </si>
  <si>
    <t>ITALCHIM SRL</t>
  </si>
  <si>
    <t>Assegnazione diretta gestione servizio sterilizzazione dispostivi e strumentario chirurgico</t>
  </si>
  <si>
    <t>SERVIZI OSPEDALIERI S.P.A.</t>
  </si>
  <si>
    <t>R.T.I .cost.ito - SERVIZI OSPEDALIERI S.P.A. - STERIMED s.r.l.</t>
  </si>
  <si>
    <t>02-MANDATARIA</t>
  </si>
  <si>
    <t>STERIMED s.r.l.</t>
  </si>
  <si>
    <t>01-MANDANTE</t>
  </si>
  <si>
    <t>Contratto ponte farmaco esclusivo TABRECTA</t>
  </si>
  <si>
    <t>NOVARTIS FARMA S.p.A.</t>
  </si>
  <si>
    <t>Contratto ponte farmaci esclusivo TEPMETKO</t>
  </si>
  <si>
    <t>MERCK SERONO SpA</t>
  </si>
  <si>
    <t>DM Emodinamica (esclusi stent) Lotto 52â€Proroga</t>
  </si>
  <si>
    <t>ab medica spa</t>
  </si>
  <si>
    <t>FORNITURA SISTEMA CIRCOLAZIONE CEC E MATERIALE CONSUMO</t>
  </si>
  <si>
    <t>SORIN GROUP ITALIA SRL</t>
  </si>
  <si>
    <t>PNRR M6 C1 1.1 Casa della ComunitÂ Crevalcore - Ristrutturazione con ampliamento</t>
  </si>
  <si>
    <t>26-AFFIDAMENTO DIRETTO IN ADESIONE AD ACCORDO QUADRO/CONVENZIONE</t>
  </si>
  <si>
    <t>C.I.M.S.</t>
  </si>
  <si>
    <t>RTI CIMS e F.lli Franchini</t>
  </si>
  <si>
    <t>Franchini Antonio e Figli srl</t>
  </si>
  <si>
    <t>Ordinativo Fornitura Intercenter servizio collaudo per CDC Bologna Savena (via Faenza)</t>
  </si>
  <si>
    <t>TEAM PROJECT srl</t>
  </si>
  <si>
    <t>Affidamento fornitura n. 30 unit? manuali di chiamata paziente UMS per esigenze OM</t>
  </si>
  <si>
    <t>23-AFFIDAMENTO DIRETTO</t>
  </si>
  <si>
    <t>SECOM SRL</t>
  </si>
  <si>
    <t>Rimozione  pavimentazione in vinil amianto e tinteggiatura presso il piano 2 del Poliambulatorio Mengoli</t>
  </si>
  <si>
    <t>Consorzio Innova Soc. Coop.</t>
  </si>
  <si>
    <t>RTI Consorzio Stabile CMF e Consorzio Innova</t>
  </si>
  <si>
    <t>Consorzio Stabile CMF</t>
  </si>
  <si>
    <t>DIP.TECNICO-PATRIMONIALE-CED</t>
  </si>
  <si>
    <t>RDO Intercent-ER PI157084-23 Acquisizione di servizi di manutenzione e assistenza ordinaria sul sistema ALISEO come da capitolato</t>
  </si>
  <si>
    <t>WINDEX SRL</t>
  </si>
  <si>
    <t>SAM - AUSL BO</t>
  </si>
  <si>
    <t>AUL BO - RINNOVO PA N. PI054042-21 PER LA FORNITURA DI UN SERVIZIO DI ATTIVITA' DI PRELIEVO PER PRESTAZIONI DI LABORATORIO E DI ALTRE PRESTAZIONI CORRELATE PRESSO ALCUNE SEDI TERRITORIALI E OSPEDALIERE</t>
  </si>
  <si>
    <t>SALUS - SERVIZI SANITARI ED AMBIENTALI S.R.L.</t>
  </si>
  <si>
    <t>DET.1571/23 RINNOVO ANNUALE SERVICE RACCOLTA E LAVORAZIONE SANGUE ED EMOCOMPONENTI</t>
  </si>
  <si>
    <t>FRESENIUS KABI ITALIA SRL CON UNICO SOCIO</t>
  </si>
  <si>
    <t>MACO PHARMA ITALIA SRL</t>
  </si>
  <si>
    <t>Contratto ponte, nelle more perfezionamento gara Intercent-Er, per la fornitura di calzature prof.li, sanitarie e sicurezza per Ausl di Bologna. Det.n. 1622 del 23/06/2023</t>
  </si>
  <si>
    <t>VOLTA PROFESSIONAL SRL</t>
  </si>
  <si>
    <t>DET. 1608/23 PROROGA TECNICA SERVICE INDAGINI IMMUNOEMATOLOGICHE LOTTO 2</t>
  </si>
  <si>
    <t>IMMUCOR ITALIA SRL</t>
  </si>
  <si>
    <t>DIP.TI AZIENDA USL</t>
  </si>
  <si>
    <t>DPE - CONTRATTO DI SERVIZIO COOP. CADIAI CDA PERTINI - 01/07/2023-31/12/2024</t>
  </si>
  <si>
    <t>C.A.D.I.A.I. Cooperativa Assistenza Domiciliare Infermi Anziani Infanzia Soc. a r.l. Coop. Sociale</t>
  </si>
  <si>
    <t>DIP.FARMACEUTICO-FAC</t>
  </si>
  <si>
    <t>ACQUISTO FARMACI</t>
  </si>
  <si>
    <t>BGP  PRODUCTS  S.r.l.</t>
  </si>
  <si>
    <t>DT 1681/2023 - SISTEMI PER LA MISURAZIONE DELLA GLICEMIA DEXCOM G6</t>
  </si>
  <si>
    <t>THERAS LIFETECH SRL</t>
  </si>
  <si>
    <t>ACQUISTO MEDICINALI</t>
  </si>
  <si>
    <t>ECONOMATO-LOGISTICA-ECO</t>
  </si>
  <si>
    <t>ACQUISTO DISPOSITIVI PER TERAPIA RESPIRATORIA - PI199660-23</t>
  </si>
  <si>
    <t>NUOVA FARMEC SRL</t>
  </si>
  <si>
    <t>DPE - CONTRATTO DI SERVIZIO COOP. IDA POLI CRA DAMIANI - 01/07/2023-31/12/2024</t>
  </si>
  <si>
    <t>IDA POLI SOC.COOP.SOCIALE</t>
  </si>
  <si>
    <t>DPE - CONTRATTO DI SERVIZIO COOP. L'ORTO CSRD CHITI E SUBANIA - 01/07/2023-31/12/2024</t>
  </si>
  <si>
    <t>COOPERATIVA SOCIALE L'ORTO SOCIETA COOPERATIVA SOC</t>
  </si>
  <si>
    <t>DPE - CONTRATTO DI SERVIZIO COOP. SOC. BOLOGNA INTEGRAZIONE ANFFAS CSRD BUCANEVE - 01/07/2023-31/12/2024</t>
  </si>
  <si>
    <t>BOLOGNA INTEGRAZIONE COOPERATIVA SOCIALE A MARCHIO ANFFAS</t>
  </si>
  <si>
    <t>DPE - CONTRATTO DI SERVIZIO ARCHE COMUNITA' ARCOBALENO CSRD - 01/07/2023-31/12/2024</t>
  </si>
  <si>
    <t>L'ARCHE - COMUNITA' L'ARCOBALENO - IMPRESA SOCIALE</t>
  </si>
  <si>
    <t>DPE - CONTRATTO DI SERVIZIO ARCHE COMUNITA' ARCOBALENO CSRR - 01/07/2023-31/12/2024</t>
  </si>
  <si>
    <t>ENDOSCOPIA DIGESTIVA IIÂ° PROROGA TECNICA CONTRATTI IN ACCORDO QUADRO da 1 a 17 - ARS CHIRURGICA</t>
  </si>
  <si>
    <t>ENDOSCOPIA DIGESTIVA IIÂ° PROROGA TECNICA CONTRATTI IN ACCORDO QUADRO da 1 a 17 - Boston Scientific</t>
  </si>
  <si>
    <t>ACQUISTO ACQUA DISTILLATA</t>
  </si>
  <si>
    <t>MONICO S.p.A</t>
  </si>
  <si>
    <t>ACQUISTO COPRISTRUMENTI E ACCESSORI</t>
  </si>
  <si>
    <t>ID&amp;CO S.r.l.</t>
  </si>
  <si>
    <t>ENDOSCOPIA DIGESTIVA II PROROGA TECNICA CONTRATTI IN ACCORDO QUADRO da 1 a 17- AORTA</t>
  </si>
  <si>
    <t>AORTA SRL</t>
  </si>
  <si>
    <t>DETE.1581/2023 INTERCENTER TELEFONIA LOTTO 1 SERVIZI AGGIUNTIVI -PROGETTO PER GESTIONE/SICUREZZA UTENTI NEL DOMINIO</t>
  </si>
  <si>
    <t>Telecom Italia</t>
  </si>
  <si>
    <t>ENDOSCOPIA DIGESTIVA IIÂ° PROROGA TECNICA CONTRATTI IN ACCORDO QUADRO da 1 a 17 - Olympus</t>
  </si>
  <si>
    <t>OLYMPUS ITALIA</t>
  </si>
  <si>
    <t>Acquisto materiale odontoiatrico orig. Castellini</t>
  </si>
  <si>
    <t>ASTIDENTAL di Sabbione SPA</t>
  </si>
  <si>
    <t>SEAGEN BV</t>
  </si>
  <si>
    <t>dialisi</t>
  </si>
  <si>
    <t>EMODIAL SRL</t>
  </si>
  <si>
    <t>DET.1608/23 PROROGA TECNICA SERVICE INDAGINI IMMUNOEMATOLOGICHE LOTTO 1 PER AUSL BO</t>
  </si>
  <si>
    <t xml:space="preserve">Dia4it s.r.l.  </t>
  </si>
  <si>
    <t>Acquisto materiale di consumo ed accessori originali per endoscopi Olympus PI200356-23</t>
  </si>
  <si>
    <t>det. 1679/2023 adesione convenzione Intercenter miscele per nutrizione enterale 3 - lotti 4- 8- 9- 28- 29- 33- 34- 35- 36- 38- 67- 76- 79- 84</t>
  </si>
  <si>
    <t>ABBOTT S.r.l.</t>
  </si>
  <si>
    <t>DISPOSITIVI MEDICI</t>
  </si>
  <si>
    <t>FARMACIA DEL PAVAGLIONE SRL</t>
  </si>
  <si>
    <t>DPE - CONTRATTO DI SERVIZIO COOP. CADIAI CRA CORNIOLO, TORRE, PERTINI E V. GRANDI - 01/07/2023-31/12/2024</t>
  </si>
  <si>
    <t>det. 1679/2023 adesione intercenter miscele per nutrizione enterale 3 - lotti 2- 11- 12- 13- 14- 17- 20- 23- 30- 31- 37- 44- 45- 52- 56- 62- 65- 66- 68- 69- 71- 72- 77- 90- 92- 94- 96</t>
  </si>
  <si>
    <t>NUTRICIA ITALIA S.p.A</t>
  </si>
  <si>
    <t>det. 1679/2023 adesione intercenter miscele per nutrizione enterale 3 - lotto 85</t>
  </si>
  <si>
    <t>DIFA COOPER S.P.A.</t>
  </si>
  <si>
    <t>det. 1679/2023 adesione intercenter miscele per nutrizione enterale 3 - lotti 47- 48- 51- 70- 91</t>
  </si>
  <si>
    <t>FOODAR ADVANCED RESEARCH SRL</t>
  </si>
  <si>
    <t>det. 1679/2023 adesione intercenter miscele per nutrizione enterale 3 - lotto 64</t>
  </si>
  <si>
    <t>DR. SCHAER SPA</t>
  </si>
  <si>
    <t>det. 1679/2023 adesione intercenter miscele per nutrizione enterale 3 - lotto 97</t>
  </si>
  <si>
    <t>ERREKAPPA EUROTERAPICI S.P.A.</t>
  </si>
  <si>
    <t>ACQUISTO SFIGMOMANOMETRI E DISPOSITIVI MEDICI VARI C/EC 1001300101</t>
  </si>
  <si>
    <t>BIHOS S.A.S. di Roberta Bidoia</t>
  </si>
  <si>
    <t>DPE - CONTRATTO DI SERVIZIO ASP PIANURA EST PER CRA GALUPPI, RAMPONI, S. DOMENICO E MINERBIO - 01/07/2023-31/12/2024</t>
  </si>
  <si>
    <t>ASP GALUPPI-RAMPONIORA ASP PIANURA EST</t>
  </si>
  <si>
    <t>DPE - CONTRATTO DI SERVIZIO CASA S. CHIARA CSRD CHICCO BALBONI - 01/07/2023-31/12/2024</t>
  </si>
  <si>
    <t>Casa S.Chiara societÃ  cooperativa sociale onlus</t>
  </si>
  <si>
    <t>DPE - CONTRATTO DI SERVIZIO COOP. ALDEBARAN - ASSDI - 01/07/2023-31/12/2024</t>
  </si>
  <si>
    <t>ALDEBARAN</t>
  </si>
  <si>
    <t>DPE - CONTRATTO DI SERVIZIO COOP. ALDEBARAN CDA PICCHIO E MARGHERITA - 01/07/2023-31/12/2024</t>
  </si>
  <si>
    <t>DPE - CONTRATTO DI SERVIZIO COOP. DOLCE CSRR VILLA DONINI - 01/07/2023-31/12/2024</t>
  </si>
  <si>
    <t>Cooperativa Sociale SocietÃ  Dolce</t>
  </si>
  <si>
    <t>dispositivi medici</t>
  </si>
  <si>
    <t>KILKO SrL</t>
  </si>
  <si>
    <t>det. 1679/2023 adesione intercenter miscele per nutrizione enterale 3 - lotti 40- 43- 46- 53- 57- 60- 88</t>
  </si>
  <si>
    <t>det. 1679/2023 adesione intercenter miscele per nutrizione enterale 3 - lotti 82,87 ,98</t>
  </si>
  <si>
    <t>NUTRISENS ITALIA SRL</t>
  </si>
  <si>
    <t>det. 1679/2023 adesione intercenter miscele per nutrizione enterale 3 - lotti 1- 3- 5- 6- 7- 10- 15- 16- 18-19- 21- 22- 24- 25- 26- 27- 32- 39- 41- 42- 49- 50- 54- 55- 58- 59- 61- 63-73- 74- 78- 80- 81- 83- 86- 89- 93- 95</t>
  </si>
  <si>
    <t>NESTLE' ITALIANA</t>
  </si>
  <si>
    <t>HMC PREMEDICAL SPA</t>
  </si>
  <si>
    <t>ENDOSCOPIA DIGESTIVA IIÂ°PROROGA TECNICA CONTRATTI IN ACCORDO QUADRO da 1 a 17 - Euromedical</t>
  </si>
  <si>
    <t>EUROMEDICAL S.R.L.</t>
  </si>
  <si>
    <t>PRAESIDIA SRL</t>
  </si>
  <si>
    <t>DIS-SOLCO LIBERTAS periodo luglio-dicembre 2023</t>
  </si>
  <si>
    <t>LIBERTAS ASSISTENZA COOPERATIVA SOCIALE</t>
  </si>
  <si>
    <t>ACQUISTO PARATIE ANTI RAGGI X</t>
  </si>
  <si>
    <t>EUROPROTEX RADIOPROTEZIONE S.r.l.</t>
  </si>
  <si>
    <t>ACQUISTO LACCI EMOSTATICI LATEX FREE - PI203740-23</t>
  </si>
  <si>
    <t>BENEFIS S.R.L.</t>
  </si>
  <si>
    <t>ACQUISTO MATERIALE DEDICATO PER MONITORAGGIO PARAMETRI VITALI MARCA NIHON KOHDEN - PI213253-23</t>
  </si>
  <si>
    <t>NIHON KOHDEN ITALIA SRL con Socio Unico</t>
  </si>
  <si>
    <t>TEVA ITALIA SRL</t>
  </si>
  <si>
    <t>DIP.TECNICO-PATRIMONIALE-ICL</t>
  </si>
  <si>
    <t>Acquisto di n. 2 monitor Mindray ePM10 per le esigenze dell'UTIN dell'Ospedale Maggiore</t>
  </si>
  <si>
    <t>APPMED srl</t>
  </si>
  <si>
    <t>DBO - CONSORZIO KEDOS - CRA PARCO DEL NAVILE _2023-2024</t>
  </si>
  <si>
    <t>CONSORZIO COOPERATIVO SOCIALE KEDOS</t>
  </si>
  <si>
    <t>DBO - CONSORZIO ALDEBARAN - ASSISTENZA DOMICILIARE _ 2023-2024</t>
  </si>
  <si>
    <t>DBO - CADIAI COOP. SOC. - CSRD "ARBORETO" _ 2023-2024</t>
  </si>
  <si>
    <t>DBO - CADIAI COOP SOC. - CSRD "VIA DEL MILLIARIO"_2023-2024</t>
  </si>
  <si>
    <t>DBO - FOMAL - CRSD "LA VILLETTA" _ 2023-2024</t>
  </si>
  <si>
    <t>FONDAZIONE OPERA MADONNA DEL LAVORO</t>
  </si>
  <si>
    <t>DBO - ALISE ONLUS - CSRR "BARBIANO" _ 2023-2024</t>
  </si>
  <si>
    <t>A.L.I.S.E.</t>
  </si>
  <si>
    <t>DBO - BOLOGNA INTEGRAZIONE SOC. COOP. SOC. AMARCHIO ANFFAS - CSRR "BATTINDARNO" _ 2023-2024</t>
  </si>
  <si>
    <t>DBO - ATI AIAS BOLOGNA ONLUS E COOP. SOCIALESOCIETA' DOLCE - CSRR "SELLERI BATTAGLIA" _ 2023-2024</t>
  </si>
  <si>
    <t>DBO - CADIAI COOP. SOCIALE - CSRR "CASA RODARI" _2023-2024</t>
  </si>
  <si>
    <t>ACQUISTO DIAGNOSTICI</t>
  </si>
  <si>
    <t>RICHEN CORTEX EUROP SRL</t>
  </si>
  <si>
    <t>ACQUISTO PROTESI</t>
  </si>
  <si>
    <t>D.M.R. MEDICAL S.R.L.</t>
  </si>
  <si>
    <t>Acquisto carta cromatografica per la medicina nucleare -c/ec 1002700501</t>
  </si>
  <si>
    <t>AGILENT TECHNOLOGIES</t>
  </si>
  <si>
    <t>Dete 1743 del 06/07/2023 Fornitura di 20 sistemi per rilevazione battito cardiaco fetale di tipo acustico PNRR missione 5</t>
  </si>
  <si>
    <t>01-PROCEDURA APERTA</t>
  </si>
  <si>
    <t>ADAMO SRL</t>
  </si>
  <si>
    <t>RINNOVO BIENNALE SERVICE DI SISTEMI PER CITOLOGIA IN STRATO SOTTILE</t>
  </si>
  <si>
    <t>HOLOGIC ITALIA S.R.L.</t>
  </si>
  <si>
    <t>SERVIZIO DI CATERING</t>
  </si>
  <si>
    <t>PASTICCERIA SIMIANI S.N.C. DI SIMIANI SIMONE E C.</t>
  </si>
  <si>
    <t>ACQUISTO VACCINI</t>
  </si>
  <si>
    <t>MERCK LIFE SCIENCE S.R.L.</t>
  </si>
  <si>
    <t>ASSISTENZA TECNICA 2023 DITTA SANACO</t>
  </si>
  <si>
    <t>SANACO SRL</t>
  </si>
  <si>
    <t>ACQUISTO DISPOSITIVI MEDICI</t>
  </si>
  <si>
    <t>MOLNLYCKE HEALTH CARE SRL</t>
  </si>
  <si>
    <t>ACCORDO QUADRO PER Lâ€™AFFIDAMENTO DELLA FORNITURA IN ACQUISTO DI TOMOGRAFI A RISONANZA MAGNETICA DETERMINA N.2061 DEL 22/08/2023</t>
  </si>
  <si>
    <t>PHILIPS  SPA</t>
  </si>
  <si>
    <t>ACQUISTO DIAGNOSTICI PER EMERGENZA VIRUS DENGUE</t>
  </si>
  <si>
    <t>Roche Diagnostics SpA</t>
  </si>
  <si>
    <t>3D SYSTEM SRL</t>
  </si>
  <si>
    <t>REVISIONE ANNUALE OBBLIGATORIA SU CASCHI TURBOVENTILATORE DI NS. PROPRIETA'</t>
  </si>
  <si>
    <t>ISD SRL</t>
  </si>
  <si>
    <t>DET.2090/23. ACQUISTO MEDIANTE RINNOVO DEGLI ACCORDI QUADRO PROTESI Dâ€™ANCA E DISPOSITIVI CORRELATI LOTTI 2-3-4 5-6 - RELATIVI ALLA CONVENZIONE STIPULATA DALLâ€™AGENZIA REGIONALE INTERCENT-ER. LOTTO 4</t>
  </si>
  <si>
    <t>ADLER ORTHO SPA</t>
  </si>
  <si>
    <t>Acquisto in urgenza di elettrodi per monitoiraggio e stimolazione e dispositivi medici vari per neurologia</t>
  </si>
  <si>
    <t>TECNOHEALTH SRL</t>
  </si>
  <si>
    <t>ASSISTENZA TECNICA 2023 DITTA ESTOR</t>
  </si>
  <si>
    <t>ESTOR S.P.A.</t>
  </si>
  <si>
    <t>PROROGA SERVICE IDONEITA' SIEROLOGICA</t>
  </si>
  <si>
    <t>DCP - YPSOMED ITALIA S.r.l. - Microinfusori - Periodo 06/07/2023 - 31/12/2024</t>
  </si>
  <si>
    <t>YPSOMED ITALIA SRL</t>
  </si>
  <si>
    <t>Biopsybell S.r.l.</t>
  </si>
  <si>
    <t>ACQUISTO DIETETICI</t>
  </si>
  <si>
    <t>LE GAMBERI FOODS S.R.L.</t>
  </si>
  <si>
    <t>DBO - ENTE MORALE S.ANNA S.CATERINA - CRA S.ANNAS.CATERINA_2023-2024</t>
  </si>
  <si>
    <t>ENTE MORALE CASA DI RIP.S.ANNA</t>
  </si>
  <si>
    <t>DET.2112/2023 Rinnovo biennale SDA 2019 farmaci esteri</t>
  </si>
  <si>
    <t>OTTOPHARMA S.R.L</t>
  </si>
  <si>
    <t>GUERBET SOCIETE ANONYME</t>
  </si>
  <si>
    <t>GMM FARMA SOCIETA' A RESPONSABILITA' LIMITATA</t>
  </si>
  <si>
    <t>Dial Alta Tecnologia Medica</t>
  </si>
  <si>
    <t>Acquisto Consumabile nuovo Riunito IntegoPro</t>
  </si>
  <si>
    <t>STED Servizi e Tecnologie Elettromedicali S.r.l.</t>
  </si>
  <si>
    <t>ACQ PROTEZIONI OCULARI EYEPRO_MEDIVAL</t>
  </si>
  <si>
    <t>Medival S.r.l.</t>
  </si>
  <si>
    <t>NUVASIVE ITALIA S.R.L.</t>
  </si>
  <si>
    <t>Farmac-Zabban S.p.A.</t>
  </si>
  <si>
    <t>E-MED SRL</t>
  </si>
  <si>
    <t>ACQUISTO DISPOSITIVI MEDICI VARI</t>
  </si>
  <si>
    <t>LANZONI S.r.l.</t>
  </si>
  <si>
    <t>LINK ITALIA S.p.A.</t>
  </si>
  <si>
    <t>Det 1883/23 Contratto ponte farmaco esclusivo Enhertu</t>
  </si>
  <si>
    <t>STRYKER ITALIA SRL</t>
  </si>
  <si>
    <t>Aptiva Medical Srl</t>
  </si>
  <si>
    <t>Det 2092/23 Contratto ponte per i farmaci esclusivi andati deserti nelle procedure Intercenter medicinali e radiofarmaci 2023-2025 e 2023-2025_2  Salf S.p.A. Laboratorio Farmacologico</t>
  </si>
  <si>
    <t>Det 2092/23 Contratto ponte per i farmaci esclusivi andati deserti nelle procedure Intercenter medicinali e radiofarmaci 2023-2025 e 2023-2025_2 Scharper S.p.A.</t>
  </si>
  <si>
    <t>Det 2092/23 Contratto ponte per i farmaci esclusivi andati deserti nelle procedure Intercenter medicinali e radiofarmaci 2023-2025 e 2023-2025_2 Theramex Italy S.r.l.</t>
  </si>
  <si>
    <t>Det 2092/23 Contratto ponte per i farmaci esclusivi andati deserti nelle procedure Intercenter medicinali e radiofarmaci 2023-2025 e 2023-2025_2 Theriaca  S.r.l.</t>
  </si>
  <si>
    <t>EUROCLONE S.p.A.</t>
  </si>
  <si>
    <t>CAMPAGNA DATTI UNA MOSSA - FORNITURA GADGETS</t>
  </si>
  <si>
    <t>FORNARI LUCIANO &amp; C SASCONTO DEDICATO MOD.2</t>
  </si>
  <si>
    <t>ACQUISTO DI EEG PER MEDICINA DEL SONNO</t>
  </si>
  <si>
    <t>SOMNOmedics Italia S.r.l.</t>
  </si>
  <si>
    <t>Allestimento locali Terapia del dolore</t>
  </si>
  <si>
    <t>Malvestio S.p.a.</t>
  </si>
  <si>
    <t>DET. 1593/23 AGHI, MEDICAZIONI, CATETERI E ALTRO MATERIALE PER DIALISI - LOTTO 2</t>
  </si>
  <si>
    <t>SPINDIAL SPA</t>
  </si>
  <si>
    <t>DET. 1593/23 AGHI, MEDICAZIONI, CATETERI E ALTRO MATERIALE PER DIALISI - LOTTO 4</t>
  </si>
  <si>
    <t>NIPRO MEDICAL ITALY S.R.L. CON SOCIO UNICO</t>
  </si>
  <si>
    <t>DET.1814/23-SUTURE CHIRURGICHE TRADIZIONALI Adesione CONSIP Lotto 1</t>
  </si>
  <si>
    <t>SERVIZIO DI TRASPORTO FUNEBRE SALMA DONATORE DI ORGANI</t>
  </si>
  <si>
    <t>ONORANZE FUNEBRI PARMEGGIANI RICCARDO SRL</t>
  </si>
  <si>
    <t>FORNITURA TAVOLI SERVITORI</t>
  </si>
  <si>
    <t>COMPAMED SNC</t>
  </si>
  <si>
    <t>FORNITURA PANCHE SPOGLIATOIO</t>
  </si>
  <si>
    <t>FASMA Srl</t>
  </si>
  <si>
    <t>Acquisto accessori ecografo CANON APLIO A</t>
  </si>
  <si>
    <t>CANON MEDICAL SYSTEMS SRL A SOCIO UNICO</t>
  </si>
  <si>
    <t>ASSISTENZA TECNICA 2023 DITTA STEELCO</t>
  </si>
  <si>
    <t>STEELCO SPA</t>
  </si>
  <si>
    <t>ACQUISTO STRUMENTARIO OCULISTICO IN ESCLUSIVA_P.I. PI268029-23</t>
  </si>
  <si>
    <t>ALBATROS S.R.L.CONDO DED. MOD. 3</t>
  </si>
  <si>
    <t>DET. 2162/2023 FORNITURA N.6 AUTOMEDICHE PER AUSLBO</t>
  </si>
  <si>
    <t>Vision Ambulanze S.r.l.</t>
  </si>
  <si>
    <t>FARMACEUTICA INTERNAZIONALE ITALIANA S.R.L.</t>
  </si>
  <si>
    <t>ACQ. MATERIALE DI CONSUMO DEDICATO PER ATTREZZATURE PHILIPS DI PROPRIETA'</t>
  </si>
  <si>
    <t>MEDITRON SRL</t>
  </si>
  <si>
    <t>ACQUISTO TEST PSICODIAGNOSTICI HOGREFE EDITORE PER PROGETTI FINANZIATI</t>
  </si>
  <si>
    <t>HOGREFE EDITORE SRL</t>
  </si>
  <si>
    <t>ACQUISTO AGHI COLORADO MICRODISSECTION NEEDLE PER ELETTROBISTURI DI PROPRIETA'</t>
  </si>
  <si>
    <t>ACQ. DISPOSITIVI POZI FOAM PER SALE OPERATORIE</t>
  </si>
  <si>
    <t>Novamedisan Italia s.r.l.</t>
  </si>
  <si>
    <t>Acquisizione urgente di materiale informatico per Piani attivitÃ  2021-2023 Fondo per Alzheimer e Demenze - RER Area tematica 3 - come da capitolato (n.3 Portatile DELL 3520 - n. 3 Stampante HP Officejet 200)</t>
  </si>
  <si>
    <t>FERRARI COMPUTER BOLOGNA SRL</t>
  </si>
  <si>
    <t>SMARTPRACTICE ITALY S.R.L.</t>
  </si>
  <si>
    <t>DPE - CONTRATTO DI SERVIZIO ASP PIANURA EST CDA GALUPPI, S. DOMENICO E CASA DEL CILIEGIO - 01/07/2023-31/12/2024</t>
  </si>
  <si>
    <t>DETE.1606/2023 INTERCENTER ADESIONE A CONVENZIONE PER SERVIZI DI SVILUPPO SW AREAS PIANI TERAPEUTICI, PSWEB CON SISTEMA ARTEXE E ELLIPSE GESTIONE DONAZIONE CORPO</t>
  </si>
  <si>
    <t>ENGINEERING INGEGNERIAINFORMATICA SPA</t>
  </si>
  <si>
    <t>DETE. 1606/2023 INTERCENTER ADESIONE A CONVENZIONE PER SVILUPPO SW DIGISTAT PER RECOVERY ROOM</t>
  </si>
  <si>
    <t>ASCOM UMS srl unipersonale</t>
  </si>
  <si>
    <t>DET.1814/23-SUTURE CHIRURGICHE TRADIZIONALI Adesione CONSIP Lotto 3</t>
  </si>
  <si>
    <t>SMC MINORI CASI COMPLESSI DGR 1102/2014 ComunitÃ  "Towanda" Utente P.N. - CSAPSA2. Periodo dal 01/07/2023 al 31/12/2023</t>
  </si>
  <si>
    <t>C.s.a.p.s.a</t>
  </si>
  <si>
    <t>RINNOVO ANNUALE SERVIZI MANUTENTIVI ORDINARI E STRAORDINARI ALLE AMBULANZE/AUTOMEDICHE DELLâ€™AZIENDA USL DI BOLOGNA. DETERMINA DI RINNOVO N. 1880 del 24.07.2023 Lotto 4</t>
  </si>
  <si>
    <t>OFFICINA F.LLI PERI SRL</t>
  </si>
  <si>
    <t>det. 1649/2023 adesione convenzione Intercenter medicinali e radiofarmaci 2023-2025_2  lotto 97</t>
  </si>
  <si>
    <t>BANCONE SU MISURA CDS PADULLE</t>
  </si>
  <si>
    <t>INGROS</t>
  </si>
  <si>
    <t>ACQUISTO URGENTE ELETTRODI PER NEUROCHIRURGIA</t>
  </si>
  <si>
    <t>E.M.S. Srl</t>
  </si>
  <si>
    <t>ACQUISTO MATERIALE DI CONSUMO DEDICATO A STRUMENTI SONICAID</t>
  </si>
  <si>
    <t>C.E.M.  SRL</t>
  </si>
  <si>
    <t>ASSISTENZA TECNICA 2023 DITTA E MED</t>
  </si>
  <si>
    <t>E-Med</t>
  </si>
  <si>
    <t>Acq. Pasta per elettrodi EEC-ECG ed altro materiale di consumo per Elettrodi e Piastre</t>
  </si>
  <si>
    <t>CERACARTA S.P.A.</t>
  </si>
  <si>
    <t>Det 2092/23 Contratto ponte per i farmaci esclusivi andati deserti nelle procedure Intercenter medicinali e radiofarmaci 2023-2025 e 2023-2025_2 Abbvie srl</t>
  </si>
  <si>
    <t>Det 2092/23 Contratto ponte per i farmaci esclusivi andati deserti nelle procedure Intercenter medicinali e radiofarmaci 2023-2025 e 2023-2025_2 Albireo AB</t>
  </si>
  <si>
    <t>ALBIREO AB</t>
  </si>
  <si>
    <t>det.2121/2023 rinnovo biennale SDA 2019 farmaci esteri</t>
  </si>
  <si>
    <t>PROFARMA SRL</t>
  </si>
  <si>
    <t>DET.2090/23. ACQUISTO MEDIANTE RINNOVO DEGLI ACCORDI QUADRO PROTESI Dâ€™ANCA E DISPOSITIVI CORRELATI LOTTI 2-3-4 5-6 RELATIVI ALLA CONVENZIONE STIPULATA  DALLâ€™AGENZIA REGIONALE INTERCENT-ER. LOTTO 5</t>
  </si>
  <si>
    <t>DET.2090/23. ACQUISTO MEDIANTE RINNOVO DEGLI ACCORDI QUADRO PROTESI Dâ€™ANCA E DISPOSITIVI CORRELATI LOTTI 2-3-4 5-6 RELATIVI ALLA CONVENZIONE STIPULATA  DALLâ€™AGENZIA REGIONALE INTERCENT-ER. LOTTO 6</t>
  </si>
  <si>
    <t>INTRAUMA SRL</t>
  </si>
  <si>
    <t>Serf srl</t>
  </si>
  <si>
    <t>poltrone con braccioli regolabili</t>
  </si>
  <si>
    <t>Moschella Sedute srl</t>
  </si>
  <si>
    <t>CORTE DI CASSAZIONE RG 5147/2015 - SALDO AVV. RUSSO VALENTINI</t>
  </si>
  <si>
    <t>RUSSO  MARIA ROSARIA</t>
  </si>
  <si>
    <t>Essity Italy S.p.A.</t>
  </si>
  <si>
    <t>Acquisizione nÂ°3 (tre) tablet Samsung Galaxy Tab A8 LTE 64GB comprensivi di cover rugged</t>
  </si>
  <si>
    <t>det. 1649/2023 Adesione convenzione Intercenter Medicinali e radiofarmaci 2023-2025_2  lotti 36,110,116,148</t>
  </si>
  <si>
    <t>CAMPAGNA SCREENING VUOL DIRE SALUTE - FORNITURA GADGETS</t>
  </si>
  <si>
    <t>ESPANSIONE GRAFICA DI ALBERTO DELLA ROVERE</t>
  </si>
  <si>
    <t>Acquisto di n.4 VRRS Homekit usati</t>
  </si>
  <si>
    <t>KHYMEIA</t>
  </si>
  <si>
    <t>DT.2211/2023 - Protesi odontoiatriche mobili, fisse e materiale implantologico - proroga tecnica more nuova gara.</t>
  </si>
  <si>
    <t>NETQUADRO RETE D'IMPRESE</t>
  </si>
  <si>
    <t>PROT.100128/23 - FORNITURA ULTERIORE CENTRIFUGA OPZIONALE PREVISTA</t>
  </si>
  <si>
    <t>LABOINDUSTRIA S.p.A.</t>
  </si>
  <si>
    <t>MANUTENZIONE ATTREZZATURE BIO ED ELETTROMEDICALI PER AUSLBO-DETERMINA N.2221 DEL 18.09.2023</t>
  </si>
  <si>
    <t>Adiramef S.r.l.</t>
  </si>
  <si>
    <t>UBER ROS SPA</t>
  </si>
  <si>
    <t>GPI OFFERTA ECONOMICA - COMMESSA 98026 - SUPPORTO OPERATIVO IN EMERGENZA PER ASSISTENZA ALLA MIGRAZIONE DELLA PROCEDURA GALILEO SABATO 9/9/23 E DOMENICA 10/9/23</t>
  </si>
  <si>
    <t>GPI S.p.A.</t>
  </si>
  <si>
    <t>Acquisto copertura sterile per protezione Arco C</t>
  </si>
  <si>
    <t>ZIEHM IMAGING SRL</t>
  </si>
  <si>
    <t>IPSEN S.P.A.</t>
  </si>
  <si>
    <t>Te Me Na srl</t>
  </si>
  <si>
    <t>DET. 3265/2022</t>
  </si>
  <si>
    <t>PHARMA EEC s.r.l.</t>
  </si>
  <si>
    <t>FORNITURA DI GAS METANO E GPL PER AUTOMEZZI AUSL BOLOGNA - ZONA BOLOGNA CITTA'</t>
  </si>
  <si>
    <t>Sprint Gas spa</t>
  </si>
  <si>
    <t>AMSEF SPA</t>
  </si>
  <si>
    <t>ACQUISTO IN URGENZA STRUMENTARIO STORZ</t>
  </si>
  <si>
    <t>ZACCANTI S.P.A. CON SOCIO UNICO</t>
  </si>
  <si>
    <t>Det. 1842/23 Adesione alla convenzione Intercenter per la fornitura di soluzioni infusionali per irrigazione di grandi volumi - edizione 4</t>
  </si>
  <si>
    <t>ACQUISTO URGENTE POSIZIONATORI PRONI PER SALE OPERATORIE</t>
  </si>
  <si>
    <t>ACQUISTO SACCHI IMMONDIZIE NERI VARIE MISURE IN ATTESA DI CONTRATTO PONTE SAV</t>
  </si>
  <si>
    <t>La Casalinda srl</t>
  </si>
  <si>
    <t>Acquisto sistema SPYLOG per le esigenza della banca delle cornee Ospedale Maggiore</t>
  </si>
  <si>
    <t>AHSI S.P.A.</t>
  </si>
  <si>
    <t>ACQUISTO di MaskerOne Imbottitura rinforzata antidecubito per posizionamento prono del paziente.</t>
  </si>
  <si>
    <t>PERMEDICA SPA</t>
  </si>
  <si>
    <t>Bioindustria L.I.M. S.p.A.</t>
  </si>
  <si>
    <t>EQUALIS SRL</t>
  </si>
  <si>
    <t>BIONCISE</t>
  </si>
  <si>
    <t>DET.1965/23- PROROGA CATETERI VENOSI ED ARTERIOSI CENTRALI E PERIFERICI</t>
  </si>
  <si>
    <t>TELEFLEX MEDICAL SRL</t>
  </si>
  <si>
    <t>DET.357/23 (+DET 1360/23) PA PI224206-22 SERVICE DI SISTEMI PER INDAGINI IMMUNOEMATOLOGICHE PER LE ESIGENZE AUSL BO</t>
  </si>
  <si>
    <t>ORTHO-CLINICAL DIAGNOSTICS ITALY SRL</t>
  </si>
  <si>
    <t>DET.357/23 (+ DET.1360/23) PA SERVICE SISTEMI PER INDAGINI IMMUNOEMATOLOGICHE LOTTO 2 PER AUSL BO</t>
  </si>
  <si>
    <t>GRIFOLS ITALIA S.p.A.</t>
  </si>
  <si>
    <t>ACQUISTO URG. COLLARI CERVICALI - IN ATTESA GARA SAAV</t>
  </si>
  <si>
    <t>Ambu S.r.l.</t>
  </si>
  <si>
    <t>ACQUISTO DIAGNOSTIVI</t>
  </si>
  <si>
    <t>TECNOLINE SRL</t>
  </si>
  <si>
    <t>Corso Base per addetti alla prevenzione incendi e gestione dell'emergenza livello 2-dell'AUSL di Bologna</t>
  </si>
  <si>
    <t>VM ANTINCENDI S.R.L.</t>
  </si>
  <si>
    <t>AUSL DI BOLOGNA  CORSO PER ADDETTI ALLA GESTIONE DELLE EMERGENZE  RISCHIO ALTO</t>
  </si>
  <si>
    <t>NOLEGGIO 60 MESI FOTOCOPIATRICI PER AUSLBO-DET2001 DEL 8.8.2023</t>
  </si>
  <si>
    <t>Tecnolaser Europa Srl</t>
  </si>
  <si>
    <t>ASSISTENZA TECNICA 2023 DITTA STERITEK</t>
  </si>
  <si>
    <t>STERITEK S.P.A.</t>
  </si>
  <si>
    <t>QUANTERIX CORPORATION</t>
  </si>
  <si>
    <t>Edwards Lifesciences Italia Srl</t>
  </si>
  <si>
    <t>Dete 1804 del 13/07/2023 - Procedura negoziata per la fornitura di n. 20 tablet 2 in1 necessari allâ€™AUSL di Bologna - Missione n. 5 â€œInclusione e Coesioneâ€ del Piano nazionale ripresa e resilienza (PNRR).</t>
  </si>
  <si>
    <t>ETT SRL</t>
  </si>
  <si>
    <t>ADESIONE INTERCENTER LOTTO1 CONVENZIONE ARREDO UFFICIO 5 - ALLESTIMENTO LOCALI BENTIVOGLIO</t>
  </si>
  <si>
    <t>metalplex spa</t>
  </si>
  <si>
    <t>RINNOVO SERVICE SISTEMI COMPLETI PER AFERESI TERAPEUTICA</t>
  </si>
  <si>
    <t>Terumo BCT Italia srl - Unipersonale</t>
  </si>
  <si>
    <t>det.3165/23 contratto ponte farmaco esclusivo Veklury</t>
  </si>
  <si>
    <t>GILEAD SCIENCES</t>
  </si>
  <si>
    <t>Acquisto accessori per ecografo PHILIPS EPIQ ELITE per le esigenze della UTIN dell'Ospedale Maggiore</t>
  </si>
  <si>
    <t>EVOLUZIONI MEDICHE SRL</t>
  </si>
  <si>
    <t>Det.1900 del 26/07/2023 - Rinnovo servizio di mediazione linguistica-culturale e servizio traduzioni</t>
  </si>
  <si>
    <t>ACQUISTO DI KIT BIOPSIA_ P.I. PI268231-23</t>
  </si>
  <si>
    <t>H.S. HOSPITAL SERVICE S.p.A.</t>
  </si>
  <si>
    <t>lipogems international spa</t>
  </si>
  <si>
    <t>DBO - COOP. SOC. SOCIETA' DOLCE - CSRR "ALBERO BLU" _2023-2024</t>
  </si>
  <si>
    <t>acquisto diagnostici</t>
  </si>
  <si>
    <t>ACQUISTO AUSILI ORTOPEDICI</t>
  </si>
  <si>
    <t>OFFICINA ORTOPEDICA FERRERO s.r.l.</t>
  </si>
  <si>
    <t>NEMO servizi formativi e 207241-23 consulenziali per la presa in carico dei pazienti per le esigenze dellâ€™IRCCS</t>
  </si>
  <si>
    <t>Fondazione Serena Onlus</t>
  </si>
  <si>
    <t>SERVIZIO DI TRASPORTO SALME DA OSP. DI VERGATO A CAMERA MORTUARI DEL CIMITERO DI VERGATO</t>
  </si>
  <si>
    <t>ONORANZE FUNEBRI CALEFFI CRISTIANO</t>
  </si>
  <si>
    <t>ACQUSITO PROTESI</t>
  </si>
  <si>
    <t>MEDACTA ITALIA SRL</t>
  </si>
  <si>
    <t>DET.2195/23-STENT VASCOLARI PERIFERICI contratto ponte</t>
  </si>
  <si>
    <t>SEDA S.p.A.</t>
  </si>
  <si>
    <t>DET. 2176/2023 FORNITURA DI N.7 AMBULANZE PER 118 AUSLBO</t>
  </si>
  <si>
    <t>EMMEDI INSTRUMENTS Srl</t>
  </si>
  <si>
    <t>ACQUISTO DISPENSER PER DISINFETTANTE MANI SKINMAN SOFT</t>
  </si>
  <si>
    <t>ECOLAB SRL</t>
  </si>
  <si>
    <t>BIOPROJET ITALIA SRL</t>
  </si>
  <si>
    <t>WHITENEST PHARMA S.R.L.</t>
  </si>
  <si>
    <t>ACQUISTO ETICHETTE PER STAMPANTE LABORATORIO</t>
  </si>
  <si>
    <t>MEDIGAS Italia S.r.l.</t>
  </si>
  <si>
    <t>ACQUISTO URGENTE MATERIALE PER LA SALA OPERATORIA</t>
  </si>
  <si>
    <t>SIM ITALIA S.r.l.</t>
  </si>
  <si>
    <t>DBO - PROVINCIA S. ANTONIO DEI FRATI MINORI -INSERIMENTO DISABILE C/O CDR San Leonardo da P.M. della Provincia S. Antonio dei Frati Minori_2023-2024</t>
  </si>
  <si>
    <t>Provincia S. Antonio dei Frati Minori</t>
  </si>
  <si>
    <t>ACQUISTO ARTICOLI VETRERIA</t>
  </si>
  <si>
    <t>LEICA MICROSYSTEMS SRL</t>
  </si>
  <si>
    <t>CHROMSYSTEMS INSTRUMENTS &amp; CHEMICALS GmbH</t>
  </si>
  <si>
    <t>DETE.1773/2023 INTERCENTER ADESIONE A CONVENZIONE PER SVLILUPPO SW MYSANITA' SISTEMA FORUM ZEISS E DSA AGGIORNAMENTO CARTELLE AMBULATORIALI</t>
  </si>
  <si>
    <t>DELTA INFORMATICA</t>
  </si>
  <si>
    <t>DETE.1786/2023 INTERCENTER ADESIONE A CONVENZIONE PER SVILUPPO SW PROGETTO MMG FASE 1 E 2 E EVLUTIVE SW SCR DEMETRA</t>
  </si>
  <si>
    <t>Dedalus Italia SpA con Socio Unico</t>
  </si>
  <si>
    <t>MONDIAL PHARMA S.A.</t>
  </si>
  <si>
    <t>DBO - ANCORA SERVIZI SOC. COOP .SOC. - CD ANZIANI"MADRE TERESA DI CALCUTTA" _2023-2024</t>
  </si>
  <si>
    <t>ANCORA SERVIZI SOCIETA' COOPERATIVA SOCIALE</t>
  </si>
  <si>
    <t>DBO - ASP CITTA' DI BOLOGNA CD ANZIANI "L' AQUILONE"_ 2023-2024</t>
  </si>
  <si>
    <t>ASP CITTA DI BOLOGNA</t>
  </si>
  <si>
    <t>DBO - COOPERATIVA SOCIALE SOCIETAâ€™ DOLCE - CDANZIANI " IL MELOGRANO" _ 2023-2024</t>
  </si>
  <si>
    <t>ACQUSITO DISPOSITIVI MEDICI</t>
  </si>
  <si>
    <t>ACQUISTO MATERIALE DI CONSUMO PER ELETTRODI NEUROMIOGRAFI</t>
  </si>
  <si>
    <t>EB NEURO S.P.A.</t>
  </si>
  <si>
    <t>Software LabFolder come quaderno di laboratorio elettronico - Labfolder Advanced for Academia / Non- Profit</t>
  </si>
  <si>
    <t>LABFORWARD GMBH</t>
  </si>
  <si>
    <t>MED-ITALIA BIOMEDICA S.r.l.</t>
  </si>
  <si>
    <t>DET.2025/23-SUTURE CHIRURGICHE TRADIZIONALI (ex AQ Consip Suture tradizionali 2+ Residuali) Contratto Ponte</t>
  </si>
  <si>
    <t>Proroga tecnica , contrattualmente prevista, relativa alla fornitura di sistemi per lo smaltimento di materiali biologici nelle more conclusione delle procedure di gara - Det. n. 2202 del 13/09/2023</t>
  </si>
  <si>
    <t>Acquisto di aggiornamento OLEA per le esigenze dell'ISNB di Bologna</t>
  </si>
  <si>
    <t>OLEA MEDICAL S.A.S.</t>
  </si>
  <si>
    <t>ACQUISTO GEL CONDUTTORE</t>
  </si>
  <si>
    <t>FIAB SPA</t>
  </si>
  <si>
    <t>DT 1954/2023  - DEFIBRILLATORI IMPIANTABILI E PACEMAKERS - Contratto ponte</t>
  </si>
  <si>
    <t>PROMO-PHARMA SPA</t>
  </si>
  <si>
    <t>NOLEGGIO SALA</t>
  </si>
  <si>
    <t>EUROPA HOTEL SRL</t>
  </si>
  <si>
    <t>DIP CRA VILLA TERESA FONDAZIONE SANTA CLELIA BARBIERI 2023-2024</t>
  </si>
  <si>
    <t>FONDAZIONES.CLELIA BARBIERI</t>
  </si>
  <si>
    <t>DIP CRA VILLA LINDA BEMA SRL 2023-2024</t>
  </si>
  <si>
    <t>BEMA S.R.L.</t>
  </si>
  <si>
    <t>DIP CSRR LE FATE E GLI ELFI SEGES SRL 2023 - 2024</t>
  </si>
  <si>
    <t>SEGES srl</t>
  </si>
  <si>
    <t>ACQUISTO MATERIALE CONSUMO BRONCOSCOPI A FIBRE ED ENDOSCOPI A FIBRE A COPERTURA DEL FABBISOGNO ESTIVO</t>
  </si>
  <si>
    <t>PENTAX Italia srl</t>
  </si>
  <si>
    <t>UNIPHARMA SA</t>
  </si>
  <si>
    <t>DET. 1806/2023 SERVIZIO DI TRASPORTO, INSTALLAZIONE E MESSA IN FUNZIONE DEL SISTEMA CYBERKNIFE ACCURAY</t>
  </si>
  <si>
    <t>DET. 1963/2023 FORNITURA DI ELETTROMETRO E DOSIMETRO PER RADIOTERAPIA</t>
  </si>
  <si>
    <t>TEMA SINERGIE S.p.A.</t>
  </si>
  <si>
    <t>Vygon Italia S.r.l.</t>
  </si>
  <si>
    <t>DETE.1839/2023 Consip  PNRR adesione a convenzione "Tecnologie Server 4" per acquisto nr. 18 server</t>
  </si>
  <si>
    <t>Italware srl</t>
  </si>
  <si>
    <t>DET.1711/23-LENTI INTRAOCULARI, MATERIALE VISCOELASTICO E SOLUZIONI ADESIONE INTERCENTER LOTTO 8</t>
  </si>
  <si>
    <t>Alcon Italia S.p.A.</t>
  </si>
  <si>
    <t>LEPINE ITALIA SRL</t>
  </si>
  <si>
    <t>Neuromed s.r.l.</t>
  </si>
  <si>
    <t>ACQUISTO ACCESSORI E MATERIALE DI CONSUMO PER ENDOSCOPIA</t>
  </si>
  <si>
    <t>Mental Health Recovery Starâ„¢: uno strumento per misurare i processi di recovery nell'ambito della salute mentale</t>
  </si>
  <si>
    <t>IL CHIARO DEL BOSCO ONLUS</t>
  </si>
  <si>
    <t>Det. 1842/23 Adesione alla convenzione Intercenter per la fornitura di soluzioni infusionali per irrigazione di grandi volumi - edizione 4 lotti 19 21 22 24 33 42</t>
  </si>
  <si>
    <t>RINNOVO ANNUALE SERVIZI MANUTENTIVI ORDINARI E STRAORDINARI ALLE AMBULANZE/AUTOMEDICHE DELLâ€™AZIENDA USL DI BOLOGNA. DETERMINA DI RINNOVO N. 1880 del 24.07.2023 Lotto 1</t>
  </si>
  <si>
    <t>PARTS &amp; SERVICES</t>
  </si>
  <si>
    <t>RINNOVO ANNUALE SERVIZI MANUTENTIVI ORDINARI E STRAORDINARI ALLE AMBULANZE/AUTOMEDICHE DELLâ€™AZIENDA USL DI BOLOGNA. DETERMINA DI RINNOVO N. 1880 del 24.07.2023 Lotto 7</t>
  </si>
  <si>
    <t>ALFASIGMA SpA</t>
  </si>
  <si>
    <t>det 2034/23 Contratto ponte farmaco esclusivo Padcev</t>
  </si>
  <si>
    <t>DPO - Progetto "Sollievo Caregiver" relativo all'apertura di sabati nel Laboratorio "Atelier" di FOMAL. Periodo: Luglio -Dicembre 2023</t>
  </si>
  <si>
    <t>ACQ. MATERIALE DI CONSUMO DEDICATO PER SISTEMI MONITORAGGIO PHILIPS IVA 5%</t>
  </si>
  <si>
    <t>NEURAXPHARM ITALY S.P.A.</t>
  </si>
  <si>
    <t>ACQUISTO ELETTRODI ECG WHITESENSOR - PI-227753-23</t>
  </si>
  <si>
    <t>DBO - SERENI ORIZZONTI 1 SPA - CRA "VALLEVERDE"</t>
  </si>
  <si>
    <t>SERENI ORIZZONTI 1 S.P.A.</t>
  </si>
  <si>
    <t>DIP CDA VERGATO UNIONE DEI COMUNI APPENNINO BOLOGNESE 2023 - 2024</t>
  </si>
  <si>
    <t>UNIONE DEI COMUNI DELL'APPENNINO BOLOGNESE</t>
  </si>
  <si>
    <t>Essential for Living: la valutazione delle abilitÃ  funzionali per la stesura di un progetto di vita</t>
  </si>
  <si>
    <t>Associazione per l'autismo"Enrico Micheli" APS-ETS</t>
  </si>
  <si>
    <t>Acquisizione URGENTE SW per il Dip. Tecnico con la formula del RENT TO BUY triennale: nÂ°1 (uno) SW PRO_SAP Professional in edizione avanzata</t>
  </si>
  <si>
    <t>2 S.I.  Software e servizi per lâ€™Ingegneria Srl</t>
  </si>
  <si>
    <t>Det 1883/23 Contratto ponte farmaco esclusivo Dovato</t>
  </si>
  <si>
    <t>ACQUISTO MAGNETI C.E. 1001500101</t>
  </si>
  <si>
    <t>ROCHE S.p.A. - SocietÃ  unipersonale</t>
  </si>
  <si>
    <t>DASIT S.P.A.</t>
  </si>
  <si>
    <t>DBO - PARROCCHIA DI S. PAOLO DI RAVONE - CRA "CONVIVENZA PER ANZIANI MARIA AUSILIATRICE E S.PAOLO" _ 2023-2024</t>
  </si>
  <si>
    <t>PARROCCHIA DI SAN PAOLO DI RAVONE</t>
  </si>
  <si>
    <t>DBO- AIAS BOLOGNA ONLUS- CSRD "FANDANGO","PARANA' ", "PRINCIPE EMILIO" _2023 2024</t>
  </si>
  <si>
    <t>Associazione italiana Assistenza Spastici AIAS Bologna onlus</t>
  </si>
  <si>
    <t>DBO - VILLA RANUZZI SPA - CRA VILLA RANUZZI_2023-2024</t>
  </si>
  <si>
    <t>VILLA RANUZZI S.P.A.</t>
  </si>
  <si>
    <t>DBO - COOP. SOC. SOCIETA' DOLCE - CSRD "ANNACHIODINI", "CASERME ROSSE", "PETER PAN" _ 2023-2024</t>
  </si>
  <si>
    <t>DBO - VILLA SERENA SRL - CRA VILLA SERENA_2023-2024</t>
  </si>
  <si>
    <t>VILLA SERENA S.R.L.</t>
  </si>
  <si>
    <t>Det. 1842/23 Adesione alla convenzione Intercenter per la fornitura di soluzioni infusionali per irrigazione di grandi volumi - edizione 4 lotti 4 8 14 18 31 61 63 64</t>
  </si>
  <si>
    <t>Sarstedt S.r.l.</t>
  </si>
  <si>
    <t>EG S.p.A.</t>
  </si>
  <si>
    <t>DIP CRA GIGI BONTA' UNIONE DEI COMUNI DELL'APPENNINO BOLOGNESE 2023-2024</t>
  </si>
  <si>
    <t>ACQUISTO GAZEBO PIEGHEVOLI</t>
  </si>
  <si>
    <t>ARDUINI ARREDAMENTI SRL</t>
  </si>
  <si>
    <t>RINNOVO ANNUALE SERVIZI MANUTENTIVI ORDINARI E STRAORDINARI ALLE AMBULANZE/AUTOMEDICHE DELLâ€™AZIENDA USL DI BOLOGNA. DETERMINA DI RINNOVO N. 1880 del 24.07.2023 Lotto 3</t>
  </si>
  <si>
    <t>ONORANZE FUNEBRI F.LLI MALAVOLTI</t>
  </si>
  <si>
    <t>Acquisto cuffie eeg preclabate</t>
  </si>
  <si>
    <t>SEI EMG srl</t>
  </si>
  <si>
    <t>COOPERATIVA SOCIALE BOLOGNA INTEGRAZIONE ONLUS m.ANFFAS</t>
  </si>
  <si>
    <t>ACQUISTO DISPOSITIVI PER ORTOPEDIA ED ALTRO</t>
  </si>
  <si>
    <t>DET.1798/2023 contratto ponte soluzione per nutrizione parenterale</t>
  </si>
  <si>
    <t>DET.1842/23 RINNOVO PER LA FORNITURA DI MASCHERE PER LE UU.OO. DI RADIOTERAPIA. LOTTO 1</t>
  </si>
  <si>
    <t>DET.1842/23 RINNOVO PER LA FORNITURA DI MASCHERE PER LE UU.OO. DI RADIOTERAPIA LOTTO 4</t>
  </si>
  <si>
    <t>DET.1842/23 RINNOVO PER LA FORNITURA DI MASCHERE PER LE UU.OO. DI RADIOTERAPIA. LOTTO 5</t>
  </si>
  <si>
    <t>Det. 1842/23 Adesione alla convenzione Intercenter per la fornitura di soluzioni infusionali per irrigazione di grandi volumi - edizione 4 lotti 10 11 15 16 26 29 30 35 38 50 51 52 57 58</t>
  </si>
  <si>
    <t>Acquisizione nÂ°10 (dieci) mouse Trackball OrbitÂ® con rotella scorrimento (K72337EU) per Dipartimento di Emergenza</t>
  </si>
  <si>
    <t>Acquisto involucri per sterilizzazione</t>
  </si>
  <si>
    <t>I-TEMA S.r.l.</t>
  </si>
  <si>
    <t>Erogazione dei servizi elaborativi di accesso ai dati del registro Imprese e del Registro Protesti (TELEMACO) OpzioneA Fascia 2 (fino a 4500 operazioni/anno) anno 2023 per Servizio Acquisti</t>
  </si>
  <si>
    <t>INFOCAMERE S.C.P.A.</t>
  </si>
  <si>
    <t>DET.1842/23 RINNOVO PER LA FORNITURA DI MASCHERE PER LE UU.OO. DI RADIOTERAPIA LOTTO 6</t>
  </si>
  <si>
    <t>DET.1842/23 RINNOVO PER LA FORNITURA DI MASCHERE PER LE UU.OO. DI RADIOTERAPIA. LOTTO 9</t>
  </si>
  <si>
    <t>Sandoz Spa</t>
  </si>
  <si>
    <t>ACQUISTO MATERIALE LUDICO/DIDATTIVO PER PO 838 PROG. "VENGO ANCHE ANCH'IO?"</t>
  </si>
  <si>
    <t>BORGIONE CENTRO DIDATTICO S.R.L.</t>
  </si>
  <si>
    <t>ASSISTENZA TECNICA 2023 DITTA AGILENT TECHNOLOGIES</t>
  </si>
  <si>
    <t>ACQ. URG. MAT. DI CONSUMO CARDIOLINE</t>
  </si>
  <si>
    <t>BIOTEC SANITÃ€ S.R.L</t>
  </si>
  <si>
    <t>det 1886/23 adesione convenzione intercenter Farmaci del Fattore VIII Ricombinante di 3^ generazione lotto 1</t>
  </si>
  <si>
    <t>CSL Behring S.p.A.</t>
  </si>
  <si>
    <t>ASSISTENZA TECNICA 2023 DITTA ACCU ITALIA</t>
  </si>
  <si>
    <t>ACCU ITALIA</t>
  </si>
  <si>
    <t>det 1886/23 adesione convenzione intercenter Farmaci del Fattore VIII Ricombinante di 3^ generazione lotto 6</t>
  </si>
  <si>
    <t>KEDRION SPA</t>
  </si>
  <si>
    <t>SELEFAR S.R.L.</t>
  </si>
  <si>
    <t>Acquisto Sistema emissioni Otoacustiche Ospedale di Bentivoglio</t>
  </si>
  <si>
    <t>NATUS MEDICAL S.R.L.</t>
  </si>
  <si>
    <t>DET.1761/23 FORNITURA A SOMMINISTRAZIONE 24 MESI MONITOR MULTIPARAMETRICI OSPEDALE PORRETT</t>
  </si>
  <si>
    <t>BURKE &amp; BURKE S.p.A.</t>
  </si>
  <si>
    <t>DET.1947/2023 Service sistemi nutrizione enterale neonatale LINEA VIOLA AuslBo</t>
  </si>
  <si>
    <t>Cair Italia</t>
  </si>
  <si>
    <t>det 2028/23 ulteriore adesione intercenter esclusivi 21-23 lotto 4</t>
  </si>
  <si>
    <t>det 2028/23 ulteriore adesione intercenter farmaci esclusivi 21-23 lotto 13</t>
  </si>
  <si>
    <t>BAYER S.p.A.</t>
  </si>
  <si>
    <t>det 2028/23 ulteriore adesione farmaci esclusivi 21-23 lotto 31</t>
  </si>
  <si>
    <t>Acquisto di 1 Sega per gessi per l'Ambulatorio di Ortopedia Ospedale di Porretta - AUSL di Bologna</t>
  </si>
  <si>
    <t>DE SOUTTER MEDICAL LTD</t>
  </si>
  <si>
    <t>Acquisto fotocamera Nikon z5</t>
  </si>
  <si>
    <t>LUCA P. ELETTRONICA SRL</t>
  </si>
  <si>
    <t>det 1801/23 adesione intercenter vaccini antinfluenzali 2023 - 2024 lotto 4</t>
  </si>
  <si>
    <t>Sanofi S.r.l.</t>
  </si>
  <si>
    <t>det 1801/23 adesione intercenter vaccini antinfluenzali 2023 - 2024 lotti 2  3</t>
  </si>
  <si>
    <t>SEQIRUS SRL</t>
  </si>
  <si>
    <t>DET. 1593/23 AGHI, MEDICAZIONI, CATETERI E ALTRO MATERIALE PER DIALISI - LOTTO 6</t>
  </si>
  <si>
    <t>E.F.M.  SRL</t>
  </si>
  <si>
    <t>DET. 1593/23 AGHI, MEDICAZIONI, CATETERI E ALTRO MATERIALE PER DIALISI - LOTTO 12</t>
  </si>
  <si>
    <t>D.R.M. S.R.L.</t>
  </si>
  <si>
    <t>DET. 1593/23 AGHI, MEDICAZIONI, CATETERI E ALTRO MATERIALE PER DIALISI - LOTTO 15</t>
  </si>
  <si>
    <t>DET. 1593/23 AGHI, MEDICAZIONI, CATETERI E ALTRO MATERIALE PER DIALISI - LOTTO 16</t>
  </si>
  <si>
    <t>DET. 1593/23 AGHI, MEDICAZIONI, CATETERI E ALTRO MATERIALE PER DIALISI - LOTTO 25</t>
  </si>
  <si>
    <t xml:space="preserve">PROVECA PHARMA Limited </t>
  </si>
  <si>
    <t>L. MOLTENI &amp; C. DEI F.LLI ALITTI SOCIETA' DI ESERCIZIO S.P.A.</t>
  </si>
  <si>
    <t>DBO - ELLEUNO S.C.S. - CD ANZIANI "VILLA CALVI" e CD"VIRGO FIDELIS" _ 2023-2024</t>
  </si>
  <si>
    <t>Cooperativa Sociale Elleuno s.c.s.</t>
  </si>
  <si>
    <t>DBO - EMMAUS SPA - CD ANZIANI "I PLATANI" _ 2023-2024</t>
  </si>
  <si>
    <t>EMMAUS S.P.A.</t>
  </si>
  <si>
    <t>DBO - ELLEUNO S.C.S. - CRA "VILLA CALVI" e CRA "VIRGOFIDELIS" _ 2023-2024</t>
  </si>
  <si>
    <t>DBO - EMMAUS SPA - CRA "I PLATANI" _ 2023-2024</t>
  </si>
  <si>
    <t>DBO - IN CAMMINO COOP .SOC. ONLUS - CRA â€œGIOVANNIXXIII REP. 1A â€“ 1Câ€ e CRA â€œVIALE PEPOLIâ€ _ 2023-2024</t>
  </si>
  <si>
    <t>COOPERATIVA SOCIALE IN CAMMINO SOCIETA COOPERATIVA</t>
  </si>
  <si>
    <t>PROROGA PROTESI VASCOLARI MEDICATE IN PTFE PROPATEN</t>
  </si>
  <si>
    <t>Video pillola in tema Farmacovigilanza per conto del Centro Regionale Farmacovigilanza RER</t>
  </si>
  <si>
    <t>HUMAREELS ASSOCIAZIONE DI PROMOZIONE SOCIALE</t>
  </si>
  <si>
    <t>SPESE CONSEGNA AL PIANO</t>
  </si>
  <si>
    <t>QUADRIFOGLIO SISTEMI D'ARREDO SpA</t>
  </si>
  <si>
    <t>GADA ITALIA SPA</t>
  </si>
  <si>
    <t>DT 1954/2023  - DEFIBRILLATORI IMPIANTABILI E PACEMAKERS - Contratto ponte -</t>
  </si>
  <si>
    <t>BIOTRONIK ITALIA SPA</t>
  </si>
  <si>
    <t>ACQUISTO MATERIALE DIDATTICO PER PROGETTO FONDO ALZHEIMER</t>
  </si>
  <si>
    <t>SISTERS</t>
  </si>
  <si>
    <t>DBO - GIEFFEGI SRL - INSERIMENTO DISABILI C/OCDR VILLA FRANCIA _ 2023-2024</t>
  </si>
  <si>
    <t>GIEFFEGI S.R.L.</t>
  </si>
  <si>
    <t>Vigeo S.r.l.</t>
  </si>
  <si>
    <t>MANUTENZIONE ATTREZZATURE DRAEGER PER AUSLBO-DET.2006 DEL 9.8.2023</t>
  </si>
  <si>
    <t>Draeger Italia S.p.A.</t>
  </si>
  <si>
    <t>ACQ. PIASTRE MONOUSO PREGELLATE PER ELETTROCHIRURGIA_F7320</t>
  </si>
  <si>
    <t>DIS - ALTIUS GAP 2023</t>
  </si>
  <si>
    <t>ALTIUS SOCIETA' COOPERATIVA SOCIALE</t>
  </si>
  <si>
    <t>KRKA Farmaceutici</t>
  </si>
  <si>
    <t>ACQUISTO MAT. CONSUMO DEFIBRILLATORI LIFEPAK E ALTRI ACCESSORI _PI216319-23</t>
  </si>
  <si>
    <t>det. 2127/2023 adesione convenzione Intercenter medicinali e radiofarmaci 2023/25 - lotto 640</t>
  </si>
  <si>
    <t>BIOGEN ITALIA SRL</t>
  </si>
  <si>
    <t>Rinnovo licenza SW per esigenze della AUSL (IRCCS) - Rinnovo nÂ°1 (una) licenza Prism 9.5.x per Win/Mac - Licenza annuale Group (Licenza di gruppo a canone annuale 10 utenti â€“ Prezzo per un anno di sottoscrizione successivo al primo)</t>
  </si>
  <si>
    <t>ADALTA SNC DI FAZZI E MARCANTONI</t>
  </si>
  <si>
    <t>KERNA ITALIA SRL</t>
  </si>
  <si>
    <t>Acquisto Disinfettanti per nuovo Riunito IntegoPro</t>
  </si>
  <si>
    <t>DETE.2107/2023 ACQUISIZIONE SERVIZI DI SVILUPPO A COMPLETAMENTO DEL SISTEMA DI CARTELLA CLINICA ELETTRONICA MARGHERITA TRE</t>
  </si>
  <si>
    <t>MEDIACLINICS ITALIA  S.R.L.</t>
  </si>
  <si>
    <t>ACQUISTO MATERIALE DI CONSUMO PER STRUM. CARDIOLINE - PI266570-23</t>
  </si>
  <si>
    <t>DETE N. 56 DEL 10/01/2023 FORNITURA IN NOLEGGIO DELLA DURATA DI 5 ANNI DI TRE ARMADI DI STOCCAGGIO E ASCIUGATURA ENDOSCOPI COMPRENSIVA DI MANUTENZIONE FULL RISK PER AZIENDA USL DI BOLOGNA. LOTTO UNICO.</t>
  </si>
  <si>
    <t>ACQUISTO DISPOSITIVI</t>
  </si>
  <si>
    <t>DET.1803/2023 FORNITURA STRUMENTAZIONE OCULISTICA -  LOTTO 5: N. 5 OFTALMOSCOPI INDIRETTI</t>
  </si>
  <si>
    <t>TEC MED MARCHE S.R.L.</t>
  </si>
  <si>
    <t>ITC FARMA SRL</t>
  </si>
  <si>
    <t>Det 2092/23 Contratto ponte per i farmaci esclusivi andati deserti nelle procedure Intercenter medicinali e radiofarmaci 2023-2025 e 2023-2025_2 MSD Italia srl</t>
  </si>
  <si>
    <t>Det 2092/23 Contratto ponte per i farmaci esclusivi andati deserti nelle procedure Intercenter medicinali e radiofarmaci 2023-2025 e 2023-2025_2 Norgine Italia S.r.l.</t>
  </si>
  <si>
    <t>SERVIZIO DI TRASPORTO FUNEBRE PER DUE SALME DONATORI DI ORGANI</t>
  </si>
  <si>
    <t>C.S.F. CENTRO SERVIZI FUNERARI</t>
  </si>
  <si>
    <t>Lohmann &amp; Rauscher</t>
  </si>
  <si>
    <t>CEA S.P.A.</t>
  </si>
  <si>
    <t>ACQUIDTO DIAGNOSTICI</t>
  </si>
  <si>
    <t>D.B.A. ITALIA S.R.L.</t>
  </si>
  <si>
    <t>ACQUISTO DISPOSITIVI  MEDICI</t>
  </si>
  <si>
    <t>Acquisizione nÂ°3 (tre) alimentatori per QNAP modello TS-879U-RP e nÂ°4 (quattro) alimentatori universali per computer portatili con connettore type-C (65W)</t>
  </si>
  <si>
    <t>ACQUISTO CONTENITORI PER AGHI PER SALA OPERATORIA</t>
  </si>
  <si>
    <t>HACHIKO MEDICAL srl</t>
  </si>
  <si>
    <t>DBO - CONSORZIO ALDEBARAN - CD ANZIANI "I 3 GIRASOLI",CD "IL CASTELLETTO", CD "PIZZOLI", CD "I MUGHETTI", CD "ITULIPANI", CD "PREZZOLINI" _ 2023-2024</t>
  </si>
  <si>
    <t>DBO - AIAS BOLOGNA ONLUS- ASSISTENZADOMICILIARE_ 2023-2024</t>
  </si>
  <si>
    <t>DIP CRA VILLA DEL SOLE EUREMA TERZA ETA' SRL 2023 - 2024</t>
  </si>
  <si>
    <t>EUREMA TERZA ETA' S.R.L.</t>
  </si>
  <si>
    <t>ASSISTENZA TECNICA 2023 DITTA ESPANSIONE MARKETING</t>
  </si>
  <si>
    <t>ESPANSIONE MARKETING S.P.A.BLOCCO 27 CENTERGROSS</t>
  </si>
  <si>
    <t>DET.1815/23 pror.tecnica LOTTO1 dispositivo Injection Gold probe</t>
  </si>
  <si>
    <t>DET.1815/23 pror.tecnica LOTTO 2 dispositivo Hot axios</t>
  </si>
  <si>
    <t>ACQUISTO URGENTE CONTENITORI PER AGHI PER SALA OPERATORIA</t>
  </si>
  <si>
    <t>ALIFAX SRL</t>
  </si>
  <si>
    <t>ASSISTENZA TECNICA 2023 DITTA MEDILAB-PD</t>
  </si>
  <si>
    <t>MEDILAB-PD srl</t>
  </si>
  <si>
    <t>ASSISTENZA TECNICA 2023 DITTA NGC MEDICAL</t>
  </si>
  <si>
    <t>NGC Medical S.r.l.</t>
  </si>
  <si>
    <t>Acquisto di n.1 Spirometro ad uso clinico per la Medicina dello Sport - AUSL di Bologna</t>
  </si>
  <si>
    <t>MEDIKRON S.R.L.</t>
  </si>
  <si>
    <t>Acquisto di n 1 Agitatore da laboratorio per il Laboratorio Spoke Ospedale Bentivoglio AUSL di B</t>
  </si>
  <si>
    <t xml:space="preserve">BIOLTECNICAL SERVICE SNC </t>
  </si>
  <si>
    <t>Acquisto materiale di consumo per Elettrodi Neuromiografi</t>
  </si>
  <si>
    <t>Acquisto di n.3 elettrobisturi piu 4 in opzione per AUSL di Bologna</t>
  </si>
  <si>
    <t>ERBE ITALIA SRL</t>
  </si>
  <si>
    <t>ACQUISTO STRUMENTARIO E MATERIALE DI CONSUMO MARTIN</t>
  </si>
  <si>
    <t>Recepimento da AUSL FE della proroga tecnica del servizio di dosimetria per personale esposto a rischio di radiazioni ionizzanti - Det. n. 1764 del 08/07/2023</t>
  </si>
  <si>
    <t>TECNO RAD S.R.L.</t>
  </si>
  <si>
    <t>PH SHOP SRL</t>
  </si>
  <si>
    <t>ACQUISTO DPI E ACCESSORI PER L'ATTIVITA' DELL'ELISOCCORSO</t>
  </si>
  <si>
    <t>KONG S.p.A.</t>
  </si>
  <si>
    <t>Kardia Srl</t>
  </si>
  <si>
    <t>CARLO BIANCHI SRL</t>
  </si>
  <si>
    <t>DET.1711/23-LENTI INTRAOCULARI, MATERIALE VISCOELASTICO E SOLUZIONI ADESIONE INTERCENTER LOTTO 1</t>
  </si>
  <si>
    <t>AMO ITALY S.R.L.</t>
  </si>
  <si>
    <t>Sigillo elettronico  -  Certificato di sigillo qualificato per smart card o Hardware Security Module  HSM validitÃ  3 anni</t>
  </si>
  <si>
    <t>ACTALIS SPA</t>
  </si>
  <si>
    <t>ARUBA PEC SPA</t>
  </si>
  <si>
    <t>Giornata di formazione sugli ausili per la comunicazione, le attivitÃ  occupazionali e lâ€™inserimento lavorativo</t>
  </si>
  <si>
    <t>DET.2160/23.FORNITURA ANNUALE DI COMBO KIT PER MICROINFUSORI</t>
  </si>
  <si>
    <t>Acquisto a completamento di 2 Sonde Videoendoscopiche rigenerate AUSLBO</t>
  </si>
  <si>
    <t>ACQUISTO MAT. DI CONSUMO DEDICATO PER ATTREZZATURE ELETTROMEDICALI PHILIPS</t>
  </si>
  <si>
    <t>CORSO PER ADDETTI ALLA GESTIONE DELLE EMERGENZE - RISCHIO ALTO</t>
  </si>
  <si>
    <t>RESNOVA S.r.l.</t>
  </si>
  <si>
    <t>Acquisto di n 2 Dermatoscopi per Assistenza Specialistica - AUSL di Bologna</t>
  </si>
  <si>
    <t>A.D.O. MEDICAL Srl</t>
  </si>
  <si>
    <t>Acquisto di n 4 apparecchi per aerosol per ospedale Bentivoglio</t>
  </si>
  <si>
    <t>SA.NI. MEDICAL SRL UNIPERSONALE</t>
  </si>
  <si>
    <t>Fornitura lettini h variabile oleodinamici</t>
  </si>
  <si>
    <t>GIVAS S.R.L.</t>
  </si>
  <si>
    <t>CHINESPORT SPA</t>
  </si>
  <si>
    <t>SIR OFTALMICA srl</t>
  </si>
  <si>
    <t>ACQ. COLLARI CERVICALI NECKLITE - NERO/GIALLO X ELISOCCORSO</t>
  </si>
  <si>
    <t>Flamor Srl</t>
  </si>
  <si>
    <t>Acquisizione nÂ° 30 (trenta) Stampanti a getto HP OfficeJet Pro 8210 Printer (D9L63A#A81) come da capitolato</t>
  </si>
  <si>
    <t>MEMOGRAPH DI PANERO GIOVANNA</t>
  </si>
  <si>
    <t>ALCANTARA S.R.L.</t>
  </si>
  <si>
    <t>INSTRUMENTATION LABORATORY S.p.A.</t>
  </si>
  <si>
    <t>DET. 2113/2023 ULTERIORE PROROGA SERVICE SISTEMI PER LA CHIRURGIA DELLA CATARATTA AUSLBO</t>
  </si>
  <si>
    <t>DET. 2113/2023 ULTERIORE PROROGA SERVICE SISTEMI PER LA CHIRURGIA VITREORETINICA LOTTO 2 AUSLBO</t>
  </si>
  <si>
    <t>MAMOXI S.R.L.</t>
  </si>
  <si>
    <t>DET.2203/23 CONTRATTO PONTE IN ACCORDO QUADRO PER LA FORNITURA DI PROTESI Dâ€™ANCA E DISPOSITIVI CORRELATI LOTTI 1</t>
  </si>
  <si>
    <t>SMITH &amp; NEPHEW SRL</t>
  </si>
  <si>
    <t>DET.2203/2023  CONTRATTO PONTE IN ACCORDO QUADRO PER LA FORNITURA DI PROTESI Dâ€™ANCA E DISPOSITIVI CORRELATI LOTTI 1</t>
  </si>
  <si>
    <t>LIMACORPORATE SPA</t>
  </si>
  <si>
    <t>DET.2203/23  CONTRATTO PONTE IN ACCORDO QUADRO PER LA FORNITURA DI PROTESI Dâ€™ANCA E DISPOSITIVI CORRELATI LOTTI 1</t>
  </si>
  <si>
    <t>THD SPA</t>
  </si>
  <si>
    <t>EXACTECH ITALIA S.p.A.</t>
  </si>
  <si>
    <t>ACQUISTO ANOSCOPI, RETTOSCOPI ED ALTRI DISPOSITIVI</t>
  </si>
  <si>
    <t>SAPI MED SPA</t>
  </si>
  <si>
    <t>det 1801/23 adesione intercenter vaccini antinfluenzali 2023 - 2024 lotto 5</t>
  </si>
  <si>
    <t>ASTRAZENECA SPA</t>
  </si>
  <si>
    <t>DPO - Progetto "Sollievo Caregiver" relativo all'apertura di sabati nel CSRD Maieutica di Open Group. Periodo: Luglio-Dicembre 2023</t>
  </si>
  <si>
    <t>OPEN GROUP SOCIETA' COOPERATIVA SOCIALE onlus</t>
  </si>
  <si>
    <t>TILLOMED ITALIA SRL</t>
  </si>
  <si>
    <t>SERVIZIO DI MONITORAGGIO CONTINUO DELLA FORMALDEIDE</t>
  </si>
  <si>
    <t>CLASS SRL</t>
  </si>
  <si>
    <t>CARDINAL HEALTH ITALY 509 S.R.L.</t>
  </si>
  <si>
    <t>Acquisto di DAE per AUSL di Bologna</t>
  </si>
  <si>
    <t>IREDEEM SRL</t>
  </si>
  <si>
    <t>Tecnolife</t>
  </si>
  <si>
    <t>DBO - ANCORA SERVIZI SOC. COOP .SOC. - CRA "MADRETERESA DI CALCUTTA" _2023-2024</t>
  </si>
  <si>
    <t>DBO - ASP CITTA' DI BOLOGNA CRA â€œALBERTONI" CRAâ€œLERCAROâ€, CRA â€œGIOVANNI XXIII di VIALE ROMA 21â€ , CRAâ€œSALICETOâ€ - 2023 2024</t>
  </si>
  <si>
    <t>DBO - ATI COOP SOC. DOLCE E VILLA PAOLA SRL - CRA"VILLA PAOLA" _2023 -2024</t>
  </si>
  <si>
    <t>VILLA PAOLA - S.R.L.</t>
  </si>
  <si>
    <t>interconsult srl</t>
  </si>
  <si>
    <t>ACQUISTO ABBONAMENTO A "BUSINESS CLASS DIGITAL + PACCHETTO PA" de Il Sole 24 ore - ANNO 2023</t>
  </si>
  <si>
    <t>GRUPPO SOLE 24 ORE</t>
  </si>
  <si>
    <t>DET.1218/2023 AFFIDAMENTO DIRETTO SERVICE TRATTAMENTI DIALITICI HDF MIXED CON NUOVO CIG</t>
  </si>
  <si>
    <t>FRESENIUS Medical Care Italia S.p.A.</t>
  </si>
  <si>
    <t>det 1978/23 Contratto ponte per il farmaco esclusivo Fintepla</t>
  </si>
  <si>
    <t>UCB PHARMA S.P.A.</t>
  </si>
  <si>
    <t>ZOGENIX S.R.L.</t>
  </si>
  <si>
    <t>Contratto ponte per la fornitura di detergenti, cosmetici e accessori per comunitÃ  a ridotto impatto ambientale per l'Ausl di Bologna, nelle more aggiudicazione gara Intercent-ER - Ditta Italchim - Det. n. 2209 del 14/09/2023</t>
  </si>
  <si>
    <t>ORSANA ITALIA SRL</t>
  </si>
  <si>
    <t>BASE PER APPOGGIO BILANCIA</t>
  </si>
  <si>
    <t>ACQUISTO SUPPORTI ERGONOMICI, FERULE, DIVARICATORI, ALTRO MATERIALE VARIO</t>
  </si>
  <si>
    <t>ALBO LAND SRL(CONTO DED.MOD.2)</t>
  </si>
  <si>
    <t>dete 1743 del 06/07/2023 Fornitura n. 4 apparecchi di stimolazione neuromuscolare e di biofeedback PNRR Missione 5 per Ausl bo Lotto 2</t>
  </si>
  <si>
    <t>ALEF S.R.L. SEMPLIFICATA</t>
  </si>
  <si>
    <t>Dete  1743 del 06/07/2023 Fornitura di n. 15 sistemi portatili necessari al reperimento delle vie accesso venoso PNRR Missione 5 per Ausl Bo Lotto 3</t>
  </si>
  <si>
    <t>STAGO ITALIA SRL</t>
  </si>
  <si>
    <t>ACQUISTO CREMA EMOLLIENTE GRASTON 120 ML PER U.A.R. S. GIOVANNI P.</t>
  </si>
  <si>
    <t>ABILITY GROUP SRL</t>
  </si>
  <si>
    <t>Manutenzioni urgenti Agosto Ospedale Maggiore</t>
  </si>
  <si>
    <t>DP PHARMA SRL</t>
  </si>
  <si>
    <t>ACQUISTO ETICHETTE IDENTIFICATIVE FARMACI</t>
  </si>
  <si>
    <t>FE.MA SRL</t>
  </si>
  <si>
    <t>DIP - DSM -  CASE S. MARTINO P. G. 2023</t>
  </si>
  <si>
    <t>ACQUISTO IMBRACATURE E ACCESSORI PER LE ESIGENZE DEL DIPARTIMENTO DI EMERGENZA NELL'ATTIVITA' DI SOCCORSO ALPINO DELL'ELISOCCORSO</t>
  </si>
  <si>
    <t>CAMP S.P.A. COSTRUZIONE ARTICOLI MONTAGNA - PREMANA</t>
  </si>
  <si>
    <t>TAGLIABUE SISTEMI OFFERTA N. 2023453 NC 0253 diffusori Regia</t>
  </si>
  <si>
    <t>Tagliabue sistemi</t>
  </si>
  <si>
    <t>ACQUISTO MATERIALE DI CONSUMO PER SPIROMETRI  - PI220568-23</t>
  </si>
  <si>
    <t>COSMED S.R.L.</t>
  </si>
  <si>
    <t>ACQUISTO DI MATERIALE DI CONSUMO PER MOVIMENTAZIONE PAZIENTI - PI207492-23</t>
  </si>
  <si>
    <t>DET.  1798/2023   Contratto ponte soluzioni per nutrizione parenterale</t>
  </si>
  <si>
    <t>DET. 1798/2023  Contratto ponte soluzioni per nutrizione parenterale</t>
  </si>
  <si>
    <t>DET.1841 DEL 18/07/2023 CONTRATTO PONTE FORNITURA SERVICE PRODOTTI PER NUTRIZIONE ENTERALE</t>
  </si>
  <si>
    <t>ASSISTENZA TECNICA 2023 DITTA CONMED</t>
  </si>
  <si>
    <t>CONMED ITALIA</t>
  </si>
  <si>
    <t>GLOBUS MEDICAL ITALY SRL</t>
  </si>
  <si>
    <t>DET. N 2120/23 ADESIONE CONSIP "ECOTOMOGRAFI 2" LOTTO 2 DITTA PHILIPS</t>
  </si>
  <si>
    <t>Acquisto Materiale Originale Catalogo 3m Espe</t>
  </si>
  <si>
    <t>DBO - Lâ€™ENTE MORALE ISTITUTO CASE DI RIPOSO S. ANNA E S. CATERINA - INSERIMENTO DISABILE c/o CASA RESIDENZA ANZIANI E CASA DI RIPOSO S. ANNA S. CATERINA</t>
  </si>
  <si>
    <t>TEST-*MEDICAL S.A.S. DI ALESSANDRO ZENNARO &amp; C.</t>
  </si>
  <si>
    <t>DBO - SERENI ORIZZONTI SPA - INSERIMENTO DISABILI C/O CDR VILLA DEI FIORI</t>
  </si>
  <si>
    <t>DBO - VILLA SILVIA SPA - INSERIMENTO DISABILI C/OCASA RESIDENZA ANZIANI VILLA SILVIA _ 2023-2024</t>
  </si>
  <si>
    <t>VILLA SILVIA S.P.A.</t>
  </si>
  <si>
    <t>ACQUISTO NEUROFISIO ELETTRODI ENCEFALO</t>
  </si>
  <si>
    <t>CANE' S.p.A. - SOCIO UNICO</t>
  </si>
  <si>
    <t>ACQ. MASCHRINA OPTI GARD STANDARD _91000 PER SO OSP. MAGGIORE</t>
  </si>
  <si>
    <t>GI.MI. MEDICAL SRL</t>
  </si>
  <si>
    <t>Pantec S.r.l.</t>
  </si>
  <si>
    <t>TAU MEDICAL S.R.L.</t>
  </si>
  <si>
    <t>Acquisizione materiale per PO 848 - PROG. FONDO ALZHEIMER (CDC 54000110) come da capitolato (TABLET - PORTATILE HP - DESKTOP ALL IN ONE)</t>
  </si>
  <si>
    <t>FERRARI GIOVANNI COMPUTER</t>
  </si>
  <si>
    <t>DPS INFORMATICA di Presello Gianni &amp; C. SNC</t>
  </si>
  <si>
    <t>Acquisizione materiale programmazione 2023 IRCCS ISNB come da capitolato (ASUS VIVOBOOK PRO 16X OLED N7600ZE-L2071W - MacBook Pro 16</t>
  </si>
  <si>
    <t>Det 2092/23 Contratto ponte per i farmaci esclusivi andati deserti nelle procedure Intercenter medicinali e radiofarmaci 2023-2025 e 2023-2025_2</t>
  </si>
  <si>
    <t>ACQUISTO SOLUZIONE REMOVE - PI203961-23</t>
  </si>
  <si>
    <t>DET.1803/2023 FORNITURA STRUMENTAZIONE OCULISTICA - LOTTO N. 1: N. 4 TONOMETRI A SOFFIO</t>
  </si>
  <si>
    <t>POLYOFTALMICA NEW S.R.L.</t>
  </si>
  <si>
    <t>ASSISTENZA TECNICA 2023 DITTA FUMAGALLI CARE &amp; REHA S.R.L.</t>
  </si>
  <si>
    <t>FUMAGALLI CARE &amp; REHA S.R.L.</t>
  </si>
  <si>
    <t>Servizio di rinnovo e mantenimento della certificazione EUSOMA "Breast Center Certification Italcert Scheme"</t>
  </si>
  <si>
    <t>ITALCERT SRL</t>
  </si>
  <si>
    <t>RINNOVO NIPT TEST</t>
  </si>
  <si>
    <t>PERKIN ELMER ITALIA SPA</t>
  </si>
  <si>
    <t>ORTHOFIX SRL</t>
  </si>
  <si>
    <t>det 1801/23 adesione intercenter vaccini antinfluenzali 2023 - 2024 lotto 1</t>
  </si>
  <si>
    <t>GLAXOSMITHKLINE S.P.A.</t>
  </si>
  <si>
    <t>ACQUISTO CALCIO BALILLA</t>
  </si>
  <si>
    <t>DBO - CASA GENERALIZIA DEL PIO ISTITUTO PICCOLESUORE DELLA SACRA FAMIGLIA -INSERIMENTODISABILE C/O CRA SACRA FAMIGLIA -2023_2024</t>
  </si>
  <si>
    <t>CASA GENERALIZIA PIO IST.PICCOLESUORE DELLA SACRA FAMIGLIA</t>
  </si>
  <si>
    <t>DBO - FOMES SRL- INSERIMENTO DISABILE C/O CSRR VILLA FABIOLA_ 2023-2024</t>
  </si>
  <si>
    <t>FOMES S.R.L.</t>
  </si>
  <si>
    <t>ACQUISTO CASSETTE PORTAFILTRO PER CAMPIONAMENTI AMIANTO SEM ER UO PSAL EST BOLOGNA - DSP</t>
  </si>
  <si>
    <t>RECOM INDUSTRIALE S.R.L.</t>
  </si>
  <si>
    <t>Paul Hartmann S.p.A.</t>
  </si>
  <si>
    <t>fornitura Barelle terapia del dolore Bentivoglio</t>
  </si>
  <si>
    <t>ACQ. BATTERIE PER DEFIBRILLATORE PHILIPS FRX</t>
  </si>
  <si>
    <t>ASSISTENZA TECNICA 2023 DITTA VIVISOL</t>
  </si>
  <si>
    <t>VIVISOL S.R.L.</t>
  </si>
  <si>
    <t>Acquisizione di nÂ°25 (venticinque) giornate per implementazione di prodotti interni al sito www.ausl.bologna.it ed eventuali portali di supporto per lâ€™anno 2023 fatturate a consumo come da capitolato</t>
  </si>
  <si>
    <t>REDOMINO SRL</t>
  </si>
  <si>
    <t>DET. 1398/2023 fornitura  di Ossido nitrico comprensivo di sistema per la somministrazione</t>
  </si>
  <si>
    <t>Linde Medicale S.r.l.</t>
  </si>
  <si>
    <t xml:space="preserve">DELTA CHEMIE BIOTECHNOLOGY S.A.S. DI APREA ANTONIO &amp; C </t>
  </si>
  <si>
    <t>Acquisto etichette centrale di sterilizzazione</t>
  </si>
  <si>
    <t>MEDIX ITALIA SRL</t>
  </si>
  <si>
    <t>CONVENZIONE INTERCENT-ARREDI PER UFFICI 5-LOTTO 3-DET. 2002 DEL 8.8.2023</t>
  </si>
  <si>
    <t>DET. 1593/23 AGHI, MEDICAZIONI, CATETERI E ALTRO MATERIALE PER DIALISI - LOTTO 26</t>
  </si>
  <si>
    <t>DET. 1593/23 AGHI, MEDICAZIONI, CATETERI E ALTRO MATERIALE PER DIALISI - LOTTO 27</t>
  </si>
  <si>
    <t>Acquisto bavaglio monouso TNT/No Sterile</t>
  </si>
  <si>
    <t>VIRCOL S.R.L.</t>
  </si>
  <si>
    <t>DETE.591/2023 INTERCENTER ADESIONE CONVENZIONE TELEFONIA LOTTO 2 PROGETTO</t>
  </si>
  <si>
    <t>A.C.E.F. S.p.A.</t>
  </si>
  <si>
    <t>DIP CRA VILLA CLELIA FONDAZIONE SANTA CLELIA BARBIERI 2023-2024</t>
  </si>
  <si>
    <t>DIP CRA PSR FONDAZIONE SANTA CLELIA BARBIERI 2023-2024</t>
  </si>
  <si>
    <t>ACQUISTO  DISPOSITIVI MEDICI</t>
  </si>
  <si>
    <t>DETE.2033/2023 CONTABILIZZAZIONE SPESA ANNI 2023-2024 PER SERVIZI ICT (DATA CENTER E RETI) sOC. LEPIDA SCPA (DEL. 113-150/22)</t>
  </si>
  <si>
    <t>24-AFFIDAMENTO DIRETTO A SOCIETA' IN HOUSE</t>
  </si>
  <si>
    <t>LEPIDA S.P.A.</t>
  </si>
  <si>
    <t>ASSISTENZA TECNICA 2023 DITTA ZACCANTI</t>
  </si>
  <si>
    <t>det 1886/23 adesione convenzione intercenter Farmaci del Fattore VIII Ricombinante di 3^ generazione lotto 2</t>
  </si>
  <si>
    <t>det 1886/23 adesione convenzione intercenter Farmaci del Fattore VIII Ricombinante di 3^ generazione lotto 3</t>
  </si>
  <si>
    <t>NOVO NORDISK S.P.A.</t>
  </si>
  <si>
    <t>det 1886/23 adesione convenzione intercenter Farmaci del Fattore VIII Ricombinante di 3^ generazione lotto 4</t>
  </si>
  <si>
    <t>TAKEDA ITALIA S.P.A.</t>
  </si>
  <si>
    <t>det 1886/23 adesione convenzione intercenter Farmaci del Fattore VIII Ricombinante di 3^ generazione lotto 5</t>
  </si>
  <si>
    <t>FISHER SCIENTIFIC SAS</t>
  </si>
  <si>
    <t>ASSISTENZA TECNICA 2023 DITTA M.R.S.</t>
  </si>
  <si>
    <t>M.R.S. Srl</t>
  </si>
  <si>
    <t>Voden Medical Instruments SpA</t>
  </si>
  <si>
    <t>TELEVISIONI LED</t>
  </si>
  <si>
    <t>ACQUISTO STRUMENTARIO E ACCESSORI PER CHIRURGIA ENDOSCOPICA</t>
  </si>
  <si>
    <t>ACQUISTO URGENTE DI CONNETTORI - AGHI - E MAT. VARIO PER NEUROLOGIA O. BELLARIA</t>
  </si>
  <si>
    <t>RINNOVO ANNUALE SERVIZI MANUTENTIVI ORDINARI E STRAORDINARI ALLE AMBULANZE/AUTOMEDICHE DELLâ€™AZIENDA USL DI BOLOGNA. DETERMINA DI RINNOVO N. 1880 del 24.07.2023 Lotto 2</t>
  </si>
  <si>
    <t>PORRETTANA GOMME S.P.A.</t>
  </si>
  <si>
    <t>RINNOVO ANNUALE SERVIZI MANUTENTIVI ORDINARI E STRAORDINARI ALLE AMBULANZE/AUTOMEDICHE DELLâ€™AZIENDA USL DI BOLOGNA. DETERMINA DI RINNOVO N. 1880 del 24.07.2023 Lotto 8</t>
  </si>
  <si>
    <t>DET. N.1990 DEL 07/08/2023ADESIONE CONVENZIONE INTERCENTER SERVICE  DISPOSITIVI A ULTRASUONI E ARADIOFREQUENZA PER AUSLBO LOTTO 2</t>
  </si>
  <si>
    <t>CONVENZIONE INTERCENT ARREDI PER UFFICI 5-LOTTO 2-DET. 2002 DEL 8.8.2023</t>
  </si>
  <si>
    <t>Franceschelli S.r.l.</t>
  </si>
  <si>
    <t>DET. 1765/2023 PROROGA TECNICA NOLEGGIO LASER A LUCE VERDE E MAT.CONSUMO</t>
  </si>
  <si>
    <t>DET.1803/2023 FORNITURA STRUMENTAZIONE OCULISTICA - LOTTO N. 2: N. 3 TONOMETRI AD APPLANAZIONE</t>
  </si>
  <si>
    <t>DET.1803/2023 FORNITURA STRUMENTAZIONE OCULISTICA - LOTTO N. 3: N. 2 AUTOREFRATTROMETRI</t>
  </si>
  <si>
    <t>DET.1803/2023 FORNITURA STRUMENTAZIONE OCULISTICA - LOTTO N. 4: N. 10 PROIETTORI OTTOTIPI</t>
  </si>
  <si>
    <t>Acquisto di n 1 stufa essiccatrice per Anatomia Patologica  AUSL di Bologna</t>
  </si>
  <si>
    <t>FKV S.R.L.</t>
  </si>
  <si>
    <t>ACQUISTI PROTESI</t>
  </si>
  <si>
    <t>PROROGA SERVICE SISTEMI ESECUZIONE FALSI POSITIVI</t>
  </si>
  <si>
    <t>DIASORIN SPA</t>
  </si>
  <si>
    <t>DPE - CONTRATTO DI SERVIZIO ASP PIANURA EST CSRR VILLA ROSALINDA - 01/07/2023-31/12/2024</t>
  </si>
  <si>
    <t>DPE - CONTRATTO DI SERVIZIO ATI (COOP. DOLCE-COOP. GESSER) CRA NEVIO FABBRI - 01/07/2023-31/12/2024</t>
  </si>
  <si>
    <t>BIO-OPTICA MILANO SPA</t>
  </si>
  <si>
    <t>ACQ. DISP. DI IMMOBILIZZAZIONE IN USO C/O PS AZIENDALI - +20% x emissione ordini a copertura mensile-bimestrale in attesa di gara SAAV.</t>
  </si>
  <si>
    <t>ARTSANITY SRL</t>
  </si>
  <si>
    <t>DBO - ASP CITTA' DI BOLOGNA - CD ANZIANI "SAVIOLI",CD "LERCARO" , CD "SAN NICOLO' DI MIRA" _ 2023-2024</t>
  </si>
  <si>
    <t>DBO - ALISE ONLUS - CSRD "NAZARIO SAURO" _ 2023-2024</t>
  </si>
  <si>
    <t>DBO - BOLOGNA INTEGRAZIONE SOC. COOP. SOC. A MARCHIO ANFFAS - CSRD "ALESSANDRO ANCONA", "AZZURROPRATO", "PARCO DEI CEDRI" _2023-2024</t>
  </si>
  <si>
    <t>ACQUISTO ABBONAMENTO A "CEI GLOBAL - S008" - ANNO 2023</t>
  </si>
  <si>
    <t>C.E.I.-COMITATO ELETTROTECNICO ITAL.</t>
  </si>
  <si>
    <t>ACQUISTO MATERIALE DI CONVIVENZA VARIO IN ATTESA CONTRATTO PONTE SAV</t>
  </si>
  <si>
    <t>CAMPAGNA DATTI UNA MOSSA - ATTIVITA' PROMOZIONALE</t>
  </si>
  <si>
    <t>ABC GADGETS</t>
  </si>
  <si>
    <t>ACQUISTO MATERIALE DI CANCELLERIA VARIO</t>
  </si>
  <si>
    <t>F.LLI BIAGINI SRL</t>
  </si>
  <si>
    <t>L'APPROCCIO DIALOGICO: strumenti per il lavoro di rete</t>
  </si>
  <si>
    <t>OY Dialogues &amp; Design Ltd</t>
  </si>
  <si>
    <t>ACQUISTP PROTESI</t>
  </si>
  <si>
    <t>MIKAI S.p.A.</t>
  </si>
  <si>
    <t>ASSISTENZA TECNICA 2023 DITTA HISTO-LINE</t>
  </si>
  <si>
    <t>Histo-Line Laboratories S.r.L.</t>
  </si>
  <si>
    <t>ACQUISTO EMG U.O.C. NEUROLOGIA RETE STROKE METROPOLITANA</t>
  </si>
  <si>
    <t>SYNOPO S.R.L.</t>
  </si>
  <si>
    <t>Fornitura poltrone prelievo h  variabile oleodinamici  -  PI 269545-23</t>
  </si>
  <si>
    <t>ACQUISTO ELETTRODI E CAVI PER STIMOLAZIONE CARDIACA PER ATTREZZ. DI PROPRIETA'</t>
  </si>
  <si>
    <t>DIP EDUCATIVA E FOND. CAS. SOLCO LIBERTAS 2023 - 2024</t>
  </si>
  <si>
    <t>DIP CRA VILLA MARGHERITA VERDE PIU' SRL 2023 - 2024</t>
  </si>
  <si>
    <t>VERDE PIU' S.R.L.</t>
  </si>
  <si>
    <t>DIP CRA COLONIE DALLOLIO UNIONE DEI COMUNI DELL'APPENNINO BOLOGNESE 2023-2024</t>
  </si>
  <si>
    <t>Acquisto di n 3 lampade frontali piÃ¹ 3 in opzione per AUSL di Bologna</t>
  </si>
  <si>
    <t>INTERMED S.R.L.</t>
  </si>
  <si>
    <t>Acquisto di n.2 lavaferri piu 2 in opzione per AUSL di Bologna</t>
  </si>
  <si>
    <t>Miele Italia S.r.l.</t>
  </si>
  <si>
    <t>Smeg S.p.A.</t>
  </si>
  <si>
    <t>DET.1814/23-SUTURE CHIRURGICHE TRADIZIONALI Adesione CONSIP Lotto 2</t>
  </si>
  <si>
    <t>DET.1814/23-SUTURE CHIRURGICHE TRADIZIONALI Adesione CONSIP Lotto  8</t>
  </si>
  <si>
    <t>DET.1814/23-SUTURE CHIRURGICHE TRADIZIONALI Adesione CONSIP Lotto  10</t>
  </si>
  <si>
    <t>DET.1814/23-SUTURE CHIRURGICHE TRADIZIONALI Adesione CONSIP Lotto  11</t>
  </si>
  <si>
    <t>DET.1814/23-SUTURE CHIRURGICHE TRADIZIONALI Adesione CONSIP Lotto  12</t>
  </si>
  <si>
    <t>Acquisto telo sottosacrale barrier con sacca ref 229</t>
  </si>
  <si>
    <t>Rinnovo licenza SW ALTOVA XMLSPY 2023 ENTERPRISE XML EDITOR FOR 1 INSTALLED USER FOR 1 YEARS</t>
  </si>
  <si>
    <t>R1 S.P.A.</t>
  </si>
  <si>
    <t>ASSISTENZA TECNICA 2023 DITTA SINTESY</t>
  </si>
  <si>
    <t>SINTESY SRL</t>
  </si>
  <si>
    <t>ACQUISTO IMBRAGATURE E ACCESSORI PER SOLLEVATORI HILL ROM - PI207328-23</t>
  </si>
  <si>
    <t>HILL-ROM SPA</t>
  </si>
  <si>
    <t>ONORANZE FUNEBRI VACCARI ROBERTO &amp; C. SNC</t>
  </si>
  <si>
    <t>DBO - FONDAZIONE GESU' DIVINO OPERAIO - CD ANZIANI"NASALLI ROCCA" _ 2023-2024</t>
  </si>
  <si>
    <t>FONDAZIONE GESU DIVINO OPERAIO</t>
  </si>
  <si>
    <t>DBO - BEATA VERGINE DELLE GRAZIE SCRL - CRA "BEATAVERGINE DELLE GRAZIE" _ 2023-2024</t>
  </si>
  <si>
    <t>BEATA VERGINE DELLE GRAZIE - SOCIETA COOPERATIVA A</t>
  </si>
  <si>
    <t>ACQ. ELETTRODI PER ECG BLUESENSOR - PI227869-23</t>
  </si>
  <si>
    <t>Biocommerciale s.a.s.</t>
  </si>
  <si>
    <t>PRODOTTI GIANNI SRL</t>
  </si>
  <si>
    <t>ACQUOSTO DIAGNOSTICI</t>
  </si>
  <si>
    <t>DBO - NUOVA OASI SRL - INSERIMENTO DISABILE C/O CDR NUOVA OASI_2023-2024</t>
  </si>
  <si>
    <t>NUOVA OASI SRL</t>
  </si>
  <si>
    <t>PROROGA FORNITURA PROVETTE NIPT</t>
  </si>
  <si>
    <t>ASTRA FORMEDIC SRL</t>
  </si>
  <si>
    <t>Det 2092/23 Contratto ponte per i farmaci esclusivi andati deserti nelle procedure Intercenter medicinali e radiofarmaci 2023-2025 e 2023-2025_2 Alfa INTES Industria Terapeutica Splendore - S.r.l.</t>
  </si>
  <si>
    <t>Det 2092/23 Contratto ponte per i farmaci esclusivi andati deserti nelle procedure Intercenter medicinali e radiofarmaci 2023-2025 e 2023-2025_2 Alloga Italia S.r.l.</t>
  </si>
  <si>
    <t>Det 2092/23 Contratto ponte per i farmaci esclusivi andati deserti nelle procedure Intercenter medicinali e radiofarmaci 2023-2025 e 2023-2025_2 Ecupharma S.r.l.</t>
  </si>
  <si>
    <t>Det 2092/23 Contratto ponte per i farmaci esclusivi andati deserti nelle procedure Intercenter medicinali e radiofarmaci 2023-2025 e 2023-2025_2 Junia Pharma S.r.l.</t>
  </si>
  <si>
    <t>Det 2092/23 Contratto ponte per i farmaci esclusivi andati deserti nelle procedure Intercenter medicinali e radiofarmaci 2023-2025 e 2023-2025_2 Leo Pharma S.p.A.</t>
  </si>
  <si>
    <t>Det 2092/23 Contratto ponte per i farmaci esclusivi andati deserti nelle procedure Intercenter medicinali e radiofarmaci 2023-2025 e 2023-2025_2 Lundbeck Italia S.p.A.</t>
  </si>
  <si>
    <t>LUNDBECK ITALIA S.P.A.</t>
  </si>
  <si>
    <t>DET. 1663/2023 - Procedura Aperta PI per lâ€™affidamento del servizio per 27980-23 la realizzazione di audiovideo e servizi fotografici per lâ€™Azienda USL di Bologna</t>
  </si>
  <si>
    <t>BE OPEN SRL</t>
  </si>
  <si>
    <t>Contratto ponte per la fornitura di detergenti, cosmetici e accessori per comunitÃ  a ridotto impatto ambientale, nelle more aggiudicazione gara di Intercent-ER - RTI La Casalinda/3MC - Det. n. 2209 del 14/09/2023</t>
  </si>
  <si>
    <t>RTI La Casalinda- 3MC</t>
  </si>
  <si>
    <t>3.M.C.</t>
  </si>
  <si>
    <t xml:space="preserve">contratto ponte soluzioni infusionali </t>
  </si>
  <si>
    <t>contratto ponte soluzioni infusionali 23/24</t>
  </si>
  <si>
    <t>BAXTER SPA</t>
  </si>
  <si>
    <t>contratto ponte soluzioni infusionali</t>
  </si>
  <si>
    <t>contratto ponte soluzioni infusionali 2023/24</t>
  </si>
  <si>
    <t>servizio di supporto al R.U.P. altamente specializzato di tipo economico - finanziario e strategico</t>
  </si>
  <si>
    <t>Ad Valorem S.r.l.</t>
  </si>
  <si>
    <t>RINNOVO PER LA FORNITURA DI PIASTRE MONOUSO PER DEFIBRILLATORI.</t>
  </si>
  <si>
    <t>contratto ponte farmaco esclusivo VEKLURY</t>
  </si>
  <si>
    <t>contratto ponte farmaco esclusivo SCEMBLIX</t>
  </si>
  <si>
    <t>Proroga tecnica contratti relativi alla fornitura cancelleria tradizionale a ridotto impatto ambientale nelle more aggiudicazione nuova convenz. Intercent-ER per Avec</t>
  </si>
  <si>
    <t>contratto ponte farmaco esclusivo LUNSUMIO Roche spa</t>
  </si>
  <si>
    <t>RINNOVO SISTEMI PER AFERESI TERAPEUTICAE CITOAFERESI</t>
  </si>
  <si>
    <t>acquisizione di servizi di manutenzione e assistenza ai terminali di lettura barcode e software</t>
  </si>
  <si>
    <t>SORI dp S.R.L.</t>
  </si>
  <si>
    <t>IOR -Esito Rdo fornitura in acquisto, messa in esercizio, e manutenzione apparecchi hw e sw controllo presenze</t>
  </si>
  <si>
    <t>Selesta Ingegneria S.p.a.</t>
  </si>
  <si>
    <t>LOTTO 2 CALCIO ACETATO RINNOVO BIENNALE AVEC</t>
  </si>
  <si>
    <t>OlcelliFarmaceutici S.r.l.</t>
  </si>
  <si>
    <t>LOTTO 4 CREMA BARRIERA RINNOVO BIENNALE AVEC</t>
  </si>
  <si>
    <t>FARMAZAN COSMOCEUTICI SRL</t>
  </si>
  <si>
    <t>LOTTO 5 CREMA BASE RINNOVO BIENNALE AVEC</t>
  </si>
  <si>
    <t>LOTTO 6 CREMA IDR.NEONATI RINNOVO BIENNALE AVEC</t>
  </si>
  <si>
    <t>LOTTO12 PASTA HOFFMANN RINNOVO GALENICI</t>
  </si>
  <si>
    <t>Rinnovo service sistema per navigazione mappaggio intracardiaco AoosBo</t>
  </si>
  <si>
    <t>CONTRATTO PONTE FARMACO ESCLUSIVO QINLOCK</t>
  </si>
  <si>
    <t xml:space="preserve">EUROMED SRL </t>
  </si>
  <si>
    <t>RINNOVO 3 ANNI SERVICE CITOFLUORIMETRIA AVEC</t>
  </si>
  <si>
    <t>Servizio di monitoraggio ambientale gas anestetici, chemioterapici, formaldeide</t>
  </si>
  <si>
    <t>contratto ponte farmaco esclusivo Ultomiris</t>
  </si>
  <si>
    <t>Alexion Pharma Italy S.r.l.</t>
  </si>
  <si>
    <t xml:space="preserve">Contratto Ponte </t>
  </si>
  <si>
    <t>Gedeon Ritcher Italia srl</t>
  </si>
  <si>
    <t>RINNOVO BIENNALE 2023/2025 APPALTO SPECIFICO PER LA FORNITURA DI FARMACI ESTERI NON REGISTRATI IN ITALIA lotto 56</t>
  </si>
  <si>
    <t>GUERBET S.A.</t>
  </si>
  <si>
    <t xml:space="preserve">RINNOVO BIENNALE 2023/2025 APPALTO SPECIFICO PER LA FORNITURA DI FARMACI ESTERI NON REGISTRATI IN ITALIA </t>
  </si>
  <si>
    <t>TNT STERILE PROROGA TECNICA</t>
  </si>
  <si>
    <t>CAM HOSPITAL SRL</t>
  </si>
  <si>
    <t>DITTA LUIGI SALVADORI S.p.A.</t>
  </si>
  <si>
    <t>PROROGA SERVICE SISTEMI PER AREA SIERO</t>
  </si>
  <si>
    <t>Beckman Coulter S.r.l.</t>
  </si>
  <si>
    <t>RTI - BECKMAN COULTER - DIASORI - ALER</t>
  </si>
  <si>
    <t>04-CAPOGRUPPO</t>
  </si>
  <si>
    <t>03-ASSOCIATA</t>
  </si>
  <si>
    <t>Abbott Rapid Diagnostisc srl</t>
  </si>
  <si>
    <t>APPROVAZIONE ACCORDO QUADRO E CONSEGUENTE ACQUISTO TERAPIA FARMACI ESCLUSIVI KYMRIAH - NOVARTIS FARMA SPA,  YESCARTA E TECARTUS - GILEAD SCIENCES SRL PER TRATTAMENTO PAZIENTI CON TERAPIE CAR-T PRESSO Lâ€™AZIENDA OSPEDALIERO UNIVERSITARIA. DI BOLOGNA</t>
  </si>
  <si>
    <t>ENDOPROTESI CORONARICHE A RILASCIO DI FARMACO contratto ponte</t>
  </si>
  <si>
    <t>DM Emodinamica esclusi stent Proroga</t>
  </si>
  <si>
    <t>CORDIS ITALY SRL</t>
  </si>
  <si>
    <t>EU KON Srl</t>
  </si>
  <si>
    <t>INNOVA HTS srl</t>
  </si>
  <si>
    <t>OCCLUTECH ITALIA SRL</t>
  </si>
  <si>
    <t>VASCOMED SRL</t>
  </si>
  <si>
    <t>LENTI INTRAOCULARI E MATERIALE VISCOELASTICO PROROGA</t>
  </si>
  <si>
    <t>ALFA INTES S.R.L.</t>
  </si>
  <si>
    <t>Bausch &amp; Lomb IOM SpA</t>
  </si>
  <si>
    <t>CARL ZEISS SPA CON SOCIO UNICO</t>
  </si>
  <si>
    <t>EMMECI 4 SRL</t>
  </si>
  <si>
    <t>STRISCE REATTIVE GLICEMIA TERRITORIALE CONTRATTO PONTE</t>
  </si>
  <si>
    <t>ASCENSIA DIABETES CARE ITALY S.R.L.</t>
  </si>
  <si>
    <t>ROCHE DIABETES CARE ITALY SPA - SOCIETA' UNIPERSONALE -</t>
  </si>
  <si>
    <t>TNT NON STERILE CONTRATTO PONTE</t>
  </si>
  <si>
    <t>BETATEX S.P.A.</t>
  </si>
  <si>
    <t>MEDIBERG</t>
  </si>
  <si>
    <t>MEDICAL SAN DI MARCOGIUSEPPE FRANCESCA</t>
  </si>
  <si>
    <t>DELTA MED S.p.A.</t>
  </si>
  <si>
    <t>MEDICAL SUD SRL</t>
  </si>
  <si>
    <t>AOUB-IOR Rdo presidio Gaac</t>
  </si>
  <si>
    <t>FORNITURA LAMPADE A FESSURA</t>
  </si>
  <si>
    <t>FORNITURA BARELLE E LETTINI BARELLA</t>
  </si>
  <si>
    <t>CAM Hospital srl</t>
  </si>
  <si>
    <t>FORNITURA STRUMENTAZIONE OCULISTICA</t>
  </si>
  <si>
    <t>FORNITURA COLONNA VIDEOLAPARO E MATERIALE CONSUMO</t>
  </si>
  <si>
    <t>FORNITURA N.21 PANEL PC MEDICALI</t>
  </si>
  <si>
    <t>N.O.R.I.S. SRL</t>
  </si>
  <si>
    <t>FORNITURA SISTEMA TELECOMANDATO</t>
  </si>
  <si>
    <t>General Medical Merate SPA</t>
  </si>
  <si>
    <t>NOLEGGIO TOMOGRAFO PET-CT</t>
  </si>
  <si>
    <t>FORA SPA</t>
  </si>
  <si>
    <t>LOTTO 9 OSSIDO ZINCO RINNOVO GALENICI</t>
  </si>
  <si>
    <t>LOTTO 13 MAGNESIO SOLFATO RINNOVO GALENICI</t>
  </si>
  <si>
    <t>LOTTO 16 ARGENTO NITRATO RINNOVO GALENICI</t>
  </si>
  <si>
    <t>LOTTO 18 OLIO MANDORLE DOLCE RINNOVO GALENICI</t>
  </si>
  <si>
    <t>LOTTO 19 PARAFFINA LIQ. RINNOVO GALENICI</t>
  </si>
  <si>
    <t>LOTTO 20 VASELLINA BIANCA RINNOVO GALENICI</t>
  </si>
  <si>
    <t>LOTTO 21 VASELÃ²INA BIANCA FILANTE RINNOVO GALENICI</t>
  </si>
  <si>
    <t>AIESI HOSPITAL SERVICE S.A.S.</t>
  </si>
  <si>
    <t>LOTTO 22 LANOLINA ANIDRA RINNOVO GALENICI</t>
  </si>
  <si>
    <t>LOTTO 23 CARBONE ATTIVO P. RINNOVO GALENICI</t>
  </si>
  <si>
    <t>LOTTO 26 ARGININA MONO RINNOVO GALENICI</t>
  </si>
  <si>
    <t>LOTTO 27 UREA RINNOVO GALENICI</t>
  </si>
  <si>
    <t>LOTTO 31 ACIDO BORICO P. RINNOVO GALENICI</t>
  </si>
  <si>
    <t>LOTTO 33 ZINCO OSSIDO RINNOVO GALENICI</t>
  </si>
  <si>
    <t>LOTTO 37 GLICERINA MOL. RINNOVO GALENICI</t>
  </si>
  <si>
    <t>LOTTO 40 CITRULLINA RINNOVO GALENICI</t>
  </si>
  <si>
    <t>LOTTO 41 AMINOPIRIDINA RINNOVO GALENICI</t>
  </si>
  <si>
    <t>LOTTO 42 ACIDO CITRICO M. RINNOVO GALENICI</t>
  </si>
  <si>
    <t>LOTTO 543 ACIDO ALFA LIPOICO RINNOVO GALENICI</t>
  </si>
  <si>
    <t>LOTTO 44 ACIDO TRICLOROACETICO RINNOVO GALENICI</t>
  </si>
  <si>
    <t>LOTTO 46 GLICEROLO RINNOVO GALENICI</t>
  </si>
  <si>
    <t>LOTTO 49 POTASSIO CITRATO P. RINNOVO GALENICI</t>
  </si>
  <si>
    <t>LOTTO 54 TIAMINA C. RINNOVO GALENICI</t>
  </si>
  <si>
    <t>LOTTO 55 ALLUME ROCCA RINNOVO GALENICI</t>
  </si>
  <si>
    <t>LOTTO 57 SODIO BORATO RINNOVO GALENICI</t>
  </si>
  <si>
    <t>LOTTO 60 LATTOSIO P. RINNOVO GALENICI</t>
  </si>
  <si>
    <t>LOTTO 62 SORBITOLO S. RINNOVO GALENICI</t>
  </si>
  <si>
    <t>LOTTO 67 SACCAROSIO S. RINNOVO GALENICI</t>
  </si>
  <si>
    <t>LOTTO 72 OLIO DI RICINO RINNOVO GALENICI</t>
  </si>
  <si>
    <t>Polizza furto e kasko direttori e dipendenti - Servizio coperture assicurative</t>
  </si>
  <si>
    <t>UNIPOLSAI ASSICURAZIONI S.P.A.</t>
  </si>
  <si>
    <t>Polizza infortuni - Servizio coperture assicurative</t>
  </si>
  <si>
    <t>NOLEGGIO PIATTAFORMA ANALI MOL. RISOLUZIONE SINGE CELL ANALYSIS</t>
  </si>
  <si>
    <t>DIATECH LAB LINE SRL</t>
  </si>
  <si>
    <t>RINNOVO QUADRIENNALE SERVICE SIEROLOGIA INFETTIVOLOGICA (MAGGIORE) PER AOU BO</t>
  </si>
  <si>
    <t>Rinnovo secondo anno abbonamento notiziario reg.le Dire e Dires per Ausl Bo, Aou Bo, IOR</t>
  </si>
  <si>
    <t>COM.E Comunicazione &amp; Editoria SRL</t>
  </si>
  <si>
    <t>PN acquisizione abbonamenti alcune riviste online anno 2024 per Ausl Bo e Ausl Imola - Ditta Ebsco</t>
  </si>
  <si>
    <t>EBSCO INFORMATION SERVICES S.R.L.</t>
  </si>
  <si>
    <t>proroga tecnica di 6 mesi per la fornitura di carta in rismefibre vergini/miste per Ausl Bo, AOU Bo, IOR, Ausl Imola</t>
  </si>
  <si>
    <t>VALSECCHI CANCELLERIA SRL</t>
  </si>
  <si>
    <t>Prosecuzione 6 mesi contratto ponte fornitura accessori consumazione pasti nelle more gara Intercent per Ausl Bo, Aou Bo, IOR, Ausl Imola</t>
  </si>
  <si>
    <t>RTI 3MC SPA-LA CASALINDA SRL</t>
  </si>
  <si>
    <t>Contratto ponte per 6 mesi fornitura prodotti cartari monouso nelle more nuova gara Intercent Ditta Paredes per Ausl Bo, Aou Bo, Ausl Imola, IOR</t>
  </si>
  <si>
    <t>PAREDES ITALIA</t>
  </si>
  <si>
    <t>Rinnovo contrattualmente previsto fornitura etichette per lab. analisi lotto 1 per Aziende sanitarie AVEC</t>
  </si>
  <si>
    <t>Rinnovo contrattualmente previsto fornitura etichette per trasfusionale lotto 2 per Aziende sanitarie Avec</t>
  </si>
  <si>
    <t>Contratto ponte per 6 mesi per fornitura accessori per comunitÃ  a ridotto impatto ambientale per Ausl Bo, Aou Bo, Ausl Imola</t>
  </si>
  <si>
    <t>RTI LA CASALINDA S.R.L./3.M.C.</t>
  </si>
  <si>
    <t>Proroga contratti PA PI 047778-18 - Servizio per la realizzazione progettuale, operativa e valutativa dei percorsi di supporto allâ€™ impiego IPS - AUSL Area Vasta Emilia Nord, Emilia Centro e Ausl di Romagna</t>
  </si>
  <si>
    <t>FONDAZIONE ENAIP S. ZAVATTA RIMINI</t>
  </si>
  <si>
    <t>RTI - FONDAZIONE ENAIPS ZAVATTA DI R - Oficina IS srl - ENAIP Don G.Magnani - ENAIP PARMA - ENAIP di ForlÃ¬ Cesena - ENAIP PIACENZA - Nazareno SocietÃ   di carpi - CSAPSA - SIC SOC COOP</t>
  </si>
  <si>
    <t>Oficina IS srl</t>
  </si>
  <si>
    <t>ENAIP Don G.Magnani</t>
  </si>
  <si>
    <t>ENAIP PARMA</t>
  </si>
  <si>
    <t>ENAIP di ForlÃ¬ Cesena</t>
  </si>
  <si>
    <t>ENAIP PIACENZA</t>
  </si>
  <si>
    <t>NAZARENO SOCIETÃ  COOPERATIVA SOCIALE</t>
  </si>
  <si>
    <t>C.S.A.P.S.A. COOPERATIVA SOCIALE</t>
  </si>
  <si>
    <t>SIC CONSORZIO DI INIZIATIVE SOCIALI Cooperativa Sociale</t>
  </si>
  <si>
    <t>Adesione per l.anno 2023-2024 alla Convenzione Intercent-er .Gas Naturale 20. lotto 1 cig 985119e81 senza impianti di cogenerazione per categorie d.uso termiche e non termiche</t>
  </si>
  <si>
    <t>Edison Energia Spa</t>
  </si>
  <si>
    <t>Fornitura e posa di un bancone da reception da installare nel nuovo atrio della Casa della Salute di Pieve di Cento</t>
  </si>
  <si>
    <t>Meloni &amp; Nardi di Nardi Alessandro</t>
  </si>
  <si>
    <t>Servizio per l.esecuzione di verifiche strutturali in opera, controllo visivo di saldature e liquidi penetranti e/o magnetoscopia presso Palazzo de. Banchi, Via Pescherie Vecchie</t>
  </si>
  <si>
    <t>CONTROL SRL</t>
  </si>
  <si>
    <t>PNRR Ospedale di ComunitÂ di Bazzano - Ristrutturazione edilizia con miglioramento sismico - Opere propedeutiche per la risoluzione delle interferenze impiantistiche elettriche reti generali del presidio</t>
  </si>
  <si>
    <t>Arco Lavori</t>
  </si>
  <si>
    <t>ATI Rekeep e Arco lavori</t>
  </si>
  <si>
    <t>Rekeep S.p.A.</t>
  </si>
  <si>
    <t>Fornitura di supporti fuoripota di dimensioni 15 x 15 cm per l'installazione di segnaletica aziendale per il piano 7? Corpo D dell'Ospedale Maggiore di Bologna</t>
  </si>
  <si>
    <t>APOGEO S.R.L.</t>
  </si>
  <si>
    <t>Invito a formulare offerta per affidamento servizi CSE per l'esecuzione dei lavori di riparazione con rafforzamento locale del fabbricato uso polifunzionale presso Villa S. Camillo S. Lazzaro di Savena (Bo)</t>
  </si>
  <si>
    <t>Arch. Emanuela Vittorini</t>
  </si>
  <si>
    <t>IM.TECH s.r.l.</t>
  </si>
  <si>
    <t>Ing. Annalisa Grandi</t>
  </si>
  <si>
    <t>ODP 37/23 - Affidamento incarico CSE relativamente all'intervento di rifazione di linee vita presso Ospedale Maggiore di Bologna (Bo)</t>
  </si>
  <si>
    <t>STEP ENGINEERING SRL</t>
  </si>
  <si>
    <t>RTI Ballardini - Sangiorgi - Step - BIMODE - Geoprobe - Santini - Casadiio - Palerma</t>
  </si>
  <si>
    <t>Studio Tecnico Associato Bimode</t>
  </si>
  <si>
    <t>Ing. Roberto Ballardini</t>
  </si>
  <si>
    <t>Alice Sangiorgi</t>
  </si>
  <si>
    <t>GEO-PROBE Studio Geologico Associato</t>
  </si>
  <si>
    <t>Benedetti e Santini studio Tecnico</t>
  </si>
  <si>
    <t>Ing. Elena Casadio</t>
  </si>
  <si>
    <t>Studio Tecnico Andrea Palerma</t>
  </si>
  <si>
    <t>ODP 36/23 Affidamento incarico DL, CSE e redazione CRE per intervento manutenzione riparativa coperto Poliambulatorio Mazzacorati di Bologna (Bo).</t>
  </si>
  <si>
    <t>ODP 38/2023 Affidamento incarico CSE per intervento rifazione linee vita Ospedale Bellaria di Bologna (Bo)</t>
  </si>
  <si>
    <t>Interventi di manutenzione del manto di copertura  del fabbricato ad uso polifunzionale Villa San camillo di san Lazzaro di Savena</t>
  </si>
  <si>
    <t>CIAB soc. coop.</t>
  </si>
  <si>
    <t>RTI Ciab Techno Gest Edinfra</t>
  </si>
  <si>
    <t>Techno Gest</t>
  </si>
  <si>
    <t>Edinfra</t>
  </si>
  <si>
    <t>Rinforzo fondale del prefabbricato ad uso polifunzionale Villa San Camillo</t>
  </si>
  <si>
    <t>Villa  San Camillo San lazzaro - Interventi di riparazione con rafforzamento sismico locale e manutenzione straordinaria per ripristino copertura</t>
  </si>
  <si>
    <t>Prestazioni catastali: Redazione denuncia di variazione per modifiche interne presso Poliambulatorio Via Montebello e Acceso atti per copia delle planimetrie catastali impianto dell.unitÂ immobiliare  in S. Pietro in Casale</t>
  </si>
  <si>
    <t>TRIGONOS ASSOCIATI</t>
  </si>
  <si>
    <t>Fornitura e posa in opera di scheda LCECCBe sull'impianto ascensore n. 10975362 ubicato c/o il fabbricato 056E - Roncati Monumentale</t>
  </si>
  <si>
    <t>KONE S.P.A.</t>
  </si>
  <si>
    <t>Servizio di assistenza tecnica per manovre ASC nel corso della visita straordinaria sull.impianto n. 10975362 KONE il presidio Roncati di Via Sant'Isaia 90 - Bologna</t>
  </si>
  <si>
    <t>Accordo Quadro di prestazioni catastali per gli immobili di proprietÂ e/o in uso all.Azienda Usl di Bologna.</t>
  </si>
  <si>
    <t>Geom. Michele Melloni</t>
  </si>
  <si>
    <t>Geom. Alberto Boninsegna</t>
  </si>
  <si>
    <t>Affidamento servizio di assistenza tecnica annuale per apparecchiatura di ultrafiltrazione acqua Milli - Q per laboratori - Pacchetto Integral 3</t>
  </si>
  <si>
    <t>SERVIZIO DI VERIFICA SCHERMATURA GABBIA FARADAY E MANUTENZIONE PORTA DI N. 1 SISTEMA RMN PRESSO OSPEDALE MAGGIORE DI BOLOGNA (BO) E N. 2 SISTEMI RMN PRESSO OSPEDALE BELLARIA DI BOLOGNA (BO) - CIG: Z573C60F65</t>
  </si>
  <si>
    <t>PROTECH SRL</t>
  </si>
  <si>
    <t>Bianchi Franco snc.</t>
  </si>
  <si>
    <t>Cyber S.r.l.</t>
  </si>
  <si>
    <t>FORLI Grandi Impainti s.r.l. Soc. Unip.</t>
  </si>
  <si>
    <t>L.M. Service di Luca Morri</t>
  </si>
  <si>
    <t>Pro-Cert Srl</t>
  </si>
  <si>
    <t>Affidamento dei servizi di Direzione Operativa, aggiornamento elaborati di progetto e contabilitÂ a corpo per realizzazione interventi di riparazione con rafforzamento locale e manutenzione copertura c/o Villa S. Camillo in S. Lazzaro di Savena (Bo).</t>
  </si>
  <si>
    <t>Agostino Salmareggi</t>
  </si>
  <si>
    <t>LDA SRL</t>
  </si>
  <si>
    <t>PNRR . CASA DELLA COMUNITA. DI SASSO MARCONI - Intervento di spostamento linee telefoniche inte</t>
  </si>
  <si>
    <t>Fibercop</t>
  </si>
  <si>
    <t>PNRR - M6 C1 1,1 - Casa della ComunitÂ di sasso marconi Spostamento linee trasmissione dati interrate</t>
  </si>
  <si>
    <t>Affidamento del Servizio di Verifica periodica (biennale) degli impianti, ai sensi del D.P.R. 462/2001, relativi alle cabine MT/BT presso l.Ospedale Maggiore di Bologna</t>
  </si>
  <si>
    <t>Ellisse srl</t>
  </si>
  <si>
    <t>Affidamento lavori di interfacciamento del programmatore orario di blocco degli ASC con il pannello centralizzato di gestione degli ascensori della CdC Navile per attivazione CAU</t>
  </si>
  <si>
    <t>SCHINDLER S.P.A</t>
  </si>
  <si>
    <t>Comunicazione di affidamento di fornitura di posto videocitofonico IP per ampliamento apparato videocitofonico esistente c/o la Casa della ComunitÂ di Bologna . Navile, per le esigenze di prossima attivazione h 24 della CAU</t>
  </si>
  <si>
    <t>R. PIERRE DIGITAL SPA</t>
  </si>
  <si>
    <t>Acquisto di n. 10 unitÂ di chiamata infermieri per Ospedale Maggiore</t>
  </si>
  <si>
    <t>Affidamento servizio di verifica degli impianti di messa a terra presso la Casa della Salute di Bologna - Navile</t>
  </si>
  <si>
    <t>RINA Services S.p.A.</t>
  </si>
  <si>
    <t>Affidamento servizio di verifica periodica degli impianti per messa a terra presso la Casa della Salute di San Lazzaro di Savena</t>
  </si>
  <si>
    <t>GSA GRUPPO SICUREZZA AMBIENTE SRL</t>
  </si>
  <si>
    <t>ODL3PNRR_2023_014 : PNRR M6 C2 - 1.1.2 Lavori di installazione di un sistema radiologico telecomandato nell'Ospedale di Bentivoglio</t>
  </si>
  <si>
    <t>CONSCOOP</t>
  </si>
  <si>
    <t>PNRR M6 C2 - 1.1.2 Lavori di installazione di un sistema radiologico telecomandato nell'Ospedale Bellaria (CUP di competenza Ingegneria Clinica)</t>
  </si>
  <si>
    <t>ODL3PNRR_2023_012PNRR M6 C2 - 1.1.2 Lavori di installazione di un sistema radiologico telecomandato nell'Ospedale Porretta</t>
  </si>
  <si>
    <t>Affidamento incarico supporto al Rup verifica della progettazione esecutiva - PNC MS6 - Ospedale Bellaria Pad. C</t>
  </si>
  <si>
    <t>Affidamento servizio manutenzione straordinaria cella media tensione cabina di ricezione MT/MT Ospedale Maggiore di Bologna (Bo)</t>
  </si>
  <si>
    <t>Schneider electric</t>
  </si>
  <si>
    <t>Affidamento servizio di modifica programmazione della porta automatica interna Cau Navile Bologna (Bo)</t>
  </si>
  <si>
    <t>QUATTROMATIC AUTOMAZIONI</t>
  </si>
  <si>
    <t>Affidamento del Servizio di verifica dell.impianto di messa a terra presso la Casa della Salute di BORGO PANIGALE Via Nani n. 10 BOLOGNA</t>
  </si>
  <si>
    <t>Eurofins Modulo Uno Srl</t>
  </si>
  <si>
    <t>INTERVENTO S16 Programma Regionale Allegato S - Opere di miglioramento sismico per risoluzione macrovulnerabilitÂ locali Ospedale di Bentivoglio - Miglioramento sismico dell'edificio Pad. L e rinforzo della Centrale Tecnologica</t>
  </si>
  <si>
    <t>Gemmo spa</t>
  </si>
  <si>
    <t>RTI Gemmo - Cear - Faenza</t>
  </si>
  <si>
    <t>CEAR SOC.COOP.CONS</t>
  </si>
  <si>
    <t>FAENZA Costruzioni srl</t>
  </si>
  <si>
    <t>PNRR Ospedale di ComunitÂ di Bazzano - Ristrutturazione edilizia con miglioramento sismico - Opere propedeutiche per la risoluzione di interferenze impiantistiche meccaniche reti generali del presidio (sottocentrale termica)</t>
  </si>
  <si>
    <t>DET 1256/2023 - AUSL BO AFFIDAMENTO SERVIZIO DI GESTIONE E DISINFESTAZIONE ANIMALI INDESIDERATI</t>
  </si>
  <si>
    <t>RENTOKIL INITIAL ITALIA SPA</t>
  </si>
  <si>
    <t>PNRR - DET. 3075 CONTABILIZZAZIONE DELLA SPESA PER L'ACQUISTO DI BENI E SERVIZI INFORMATICI IN HOUSE LEPID SCPA PER LA MIGRAZIONE AL CLOUD</t>
  </si>
  <si>
    <t>DET.2358/2023 ADESIONE CONVENZIONE INTERCENTER FORNITURA ECOTOMOGRAFI LOTTO 7</t>
  </si>
  <si>
    <t>ESAOTE S.p.A.</t>
  </si>
  <si>
    <t>DETE. 2963/2023 PNRR INTERCENTER ADESIONE A CONVENZIONE PER ACQUISIZIONE SERVIZI DI SVILUPPO E ADEGUAMENTO SOFTWARE GARSIA PER INVIO FLUSSO SIAR</t>
  </si>
  <si>
    <t>SOFTECH SRL</t>
  </si>
  <si>
    <t>DET. 2798/2022 FORNITURA IN SERVICE DI SISTEMI PER Lâ€™IDONEITAâ€™ SIEROLOGICA</t>
  </si>
  <si>
    <t>DET.1360/2023 SERVICE SISTEMI INDAGINI IMMUNOEMATOLOGICHE LOTTO 2</t>
  </si>
  <si>
    <t>MANUTENZIONE SACCHE PER IRRAGGIAMENTO PER AUSLBO-DET. 2884 DEL 5.12.2023</t>
  </si>
  <si>
    <t>MEDICAL SERVICE S.r.l</t>
  </si>
  <si>
    <t>DETE.1771/2023 AD ACQUISIZIONE SERVIZI DI MANUTENZIONE E SVILUPPO SISTEMA SOFTWARE DATAWAREHOUSE OSPEDALIERO</t>
  </si>
  <si>
    <t>MIES SRL</t>
  </si>
  <si>
    <t>DET. 2358/2023 ADESIONE INTERCENTER ECOTOMOGRAFI LOTTO 1</t>
  </si>
  <si>
    <t>GE MEDICAL SYSTEMS ITALIA</t>
  </si>
  <si>
    <t>DET. 2358/2023 ADESIONE  INTERCENTER FORNITURA ECOTOMOGRAFI LOTTO 2</t>
  </si>
  <si>
    <t>PROCEDURA APERTA PER LA FORNITURA, IN NOLEGGIO PER 5 ANNI, DI DUE SISTEMI DI MONITORAGGIO MULTIPARAMETRICI PER LE ESIGENZE DELLâ€™AZIENDA USL DI BOLOGNA.</t>
  </si>
  <si>
    <t>RDO fornitura in acquisto di 4 findus camera per Ausl di Bologna Lotto 1</t>
  </si>
  <si>
    <t>DET.1812/2023. FORNITURA IN SERVICE DI STRISCE REATTIVE E COAGULOMETRI PORTATILI PER LA DETERMINAZIONE DI INR SU PRELIEVO CAPILLARE PER Lâ€™AZIENDA USL DI BOLOGNA.</t>
  </si>
  <si>
    <t>VREE HEALTH ITALIA SRL</t>
  </si>
  <si>
    <t>DET. N. 2267/23 PNRR MISSIONE 6 ADESIONE CONVENZIONE CONSIP APPARECCHIATURE DI RADIOLOGIA</t>
  </si>
  <si>
    <t>DETE 2351 2023 ESITO RDO PI274912 23 FORNITURA POSA IN OPERA E MANUTENZIONE SEGNALETICA INTERNA ED ESTERNA AUSL BO</t>
  </si>
  <si>
    <t>Det. nr 1848/2023 AUSLBO - Adesione alla convenzione Consip â€œPC Desktop e Workstation 2â€, Lotto 2, Ditta Italware S.r.l, Programma investimenti ex art. 20 L.67/88 intervento APC 26</t>
  </si>
  <si>
    <t>Det 1848/2023 Consip â€œPC Desktop e Workstation 2 - Lotto 4, per la fornitura in acquisto di nÂ° 25 PC Lenovo Thinkstation P358, S.O. LENOVO THINKVISION Programma investimenti ex art. 20 L.67/88 intervento APC 26</t>
  </si>
  <si>
    <t>06-PROCEDURA NEGOZIATA SENZA PREVIA INDIZIONE DI GARA (SETTORI SPECIALI)</t>
  </si>
  <si>
    <t>POSDATA SRL</t>
  </si>
  <si>
    <t>Det 1848/2023 nÂ° 11 PC Lenovo â€“THINKCENTRE M75s Gen2, S.O. Windows 10 pro 64bit e nÂ° 11 Monitor 24â€LENOVO THINKVISION E 24-28, per il PO 837 dellâ€™UO NPIA Territoriale (PO837)</t>
  </si>
  <si>
    <t>DETE. 1981/2023 PNRR Missione 6 salute - Adesione Consip Licenze software Multibrand 5 - lotto 5</t>
  </si>
  <si>
    <t>det. 2392/23 NOLEGGIO E MATERIALE DI CONSUMO DI STRUMENTAZIONE PER SEQUENZIARE DNA MALATTIE NEUROLOGICHE TRATTATE PRESSO Lâ€™ISTITUTO DI SCIENZE NEUROLOGICHE DI BOLOGNA IRCSS â€“ AUSL BO.</t>
  </si>
  <si>
    <t>OXFORD NANOPORE TECHNOLOGIES, LTD</t>
  </si>
  <si>
    <t>DETE 2035 DEL 18 08 2023 E 2060 DEL 22 08 2023 PROROGA DEL CONTRATTO RELATIVO AD ADESIONE CONVENZIONE INTERCENTER SERVIZI INTEGRATI DI LAVANOLO AUSL BO</t>
  </si>
  <si>
    <t>servizi italia</t>
  </si>
  <si>
    <t>RTI SERVIZI OSPEDALIERI - SERVIZI ITALIA</t>
  </si>
  <si>
    <t>DET.2662-2023 FORNITURA IN ACQUISTO DISPOSITIVI ZEBRA</t>
  </si>
  <si>
    <t>Det. n. 2389 del 11/10/2023 PN  acquisto licenze software per ricostruzione immagini multimodalitaâ€™ a completamento del sistema Philips Portal</t>
  </si>
  <si>
    <t>DET. 2381 del 11.10.2023 Procedura negoziata acquisto licenza software a completamento/upgrade del Sistema R&amp;V Elekta Mosaiq</t>
  </si>
  <si>
    <t>DT.2263/2023+ DT.2292/2023 - SISTEMI DI ACCESSO  VENOSO  ED ARTERIOSO E DISPOSITIVI DI  FISSAGGIO  (AVEC) - LOTTO 1</t>
  </si>
  <si>
    <t>DT.2263/2023+ DT.2292/2023 - SISTEMI DI ACCESSO  VENOSO  ED ARTERIOSO E DISPOSITIVI DI  FISSAGGIO  (AVEC) - LOTTO 2</t>
  </si>
  <si>
    <t>MEDLINE INTERNATIONAL ITALY SRL UNIP.</t>
  </si>
  <si>
    <t>DT.2263/2023+ DT.2292/2023 - SISTEMI DI ACCESSO  VENOSO  ED ARTERIOSO E DISPOSITIVI DI  FISSAGGIO  (AVEC) - LOTTO 3</t>
  </si>
  <si>
    <t>3M HEALTHCARE ITALY S.R.L.</t>
  </si>
  <si>
    <t>DT.2263/2023+ DT.2292/2023 - SISTEMI DI ACCESSO  VENOSO  ED ARTERIOSO E DISPOSITIVI DI  FISSAGGIO  (AVEC) - LOTTO  4</t>
  </si>
  <si>
    <t>DT.2263/2023+ DT.2292/2023 - SISTEMI DI ACCESSO  VENOSO  ED ARTERIOSO E DISPOSITIVI DI  FISSAGGIO  (AVEC) - LOTTO 5</t>
  </si>
  <si>
    <t>DT.2263/2023+ DT.2292/2023 - SISTEMI DI ACCESSO  VENOSO  ED ARTERIOSO E DISPOSITIVI DI  FISSAGGIO  (AVEC) - LOTTO 8</t>
  </si>
  <si>
    <t>INNOVAMEDICA SPA</t>
  </si>
  <si>
    <t>DT.2263/2023+ DT.2292/2023 - SISTEMI DI ACCESSO  VENOSO  ED ARTERIOSO E DISPOSITIVI DI  FISSAGGIO  (AVEC) - LOTTO  9</t>
  </si>
  <si>
    <t>DT.2263/2023+ DT.2292/2023 - SISTEMI DI ACCESSO  VENOSO  ED ARTERIOSO E DISPOSITIVI DI  FISSAGGIO  (AVEC) - LOTTO 10</t>
  </si>
  <si>
    <t>DT.2263/2023+ DT.2292/2023 - SISTEMI DI ACCESSO  VENOSO  ED ARTERIOSO E DISPOSITIVI DI  FISSAGGIO  (AVEC) - LOTTO  11</t>
  </si>
  <si>
    <t>DT.2263/2023+ DT.2292/2023 - SISTEMI DI ACCESSO  VENOSO  ED ARTERIOSO E DISPOSITIVI DI  FISSAGGIO  (AVEC) - LOTTO  12</t>
  </si>
  <si>
    <t>DT.2263/2023+ DT.2292/2023 - SISTEMI DI ACCESSO  VENOSO  ED ARTERIOSO E DISPOSITIVI DI  FISSAGGIO  (AVEC) - LOTTO 13</t>
  </si>
  <si>
    <t>DT.2263/2023+ DT.2292/2023 - SISTEMI DI ACCESSO  VENOSO  ED ARTERIOSO E DISPOSITIVI DI  FISSAGGIO  (AVEC) - LOTTO 14</t>
  </si>
  <si>
    <t>DT.2263/2023+ DT.2292/2023 - SISTEMI DI ACCESSO  VENOSO  ED ARTERIOSO E DISPOSITIVI DI  FISSAGGIO  (AVEC) - LOTTO  15</t>
  </si>
  <si>
    <t>DT.2263/2023+ DT.2292/2023 - SISTEMI DI ACCESSO  VENOSO  ED ARTERIOSO E DISPOSITIVI DI  FISSAGGIO  (AVEC) - LOTTO  16</t>
  </si>
  <si>
    <t>DT.2263/2023+ DT.2292/2023 - SISTEMI DI ACCESSO  VENOSO  ED ARTERIOSO E DISPOSITIVI DI  FISSAGGIO  (AVEC) - LOTTO  17</t>
  </si>
  <si>
    <t>DT.2263/2023+ DT.2292/2023 - SISTEMI DI ACCESSO  VENOSO  ED ARTERIOSO E DISPOSITIVI DI  FISSAGGIO  (AVEC) - LOTTO  18</t>
  </si>
  <si>
    <t>DT.2263/2023+ DT.2292/2023 - SISTEMI DI ACCESSO  VENOSO  ED ARTERIOSO E DISPOSITIVI DI  FISSAGGIO  (AVEC) - LOTTO  19</t>
  </si>
  <si>
    <t>DT.2263/2023+ DT.2292/2023 - SISTEMI DI ACCESSO  VENOSO  ED ARTERIOSO E DISPOSITIVI DI  FISSAGGIO  (AVEC) - LOTTO  20</t>
  </si>
  <si>
    <t>DT.2263/2023+ DT.2292/2023 - SISTEMI DI ACCESSO  VENOSO  ED ARTERIOSO E DISPOSITIVI DI  FISSAGGIO  (AVEC) - LOTTO  22</t>
  </si>
  <si>
    <t>DT.2263/2023+ DT.2292/2023 - SISTEMI DI ACCESSO  VENOSO  ED ARTERIOSO E DISPOSITIVI DI  FISSAGGIO  (AVEC) - LOTTO  23</t>
  </si>
  <si>
    <t>DT.2263/2023+ DT.2292/2023 - SISTEMI DI ACCESSO  VENOSO  ED ARTERIOSO E DISPOSITIVI DI  FISSAGGIO  (AVEC) - LOTTO  24</t>
  </si>
  <si>
    <t>DT.2263/2023+ DT.2292/2023 - SISTEMI DI ACCESSO  VENOSO  ED ARTERIOSO E DISPOSITIVI DI  FISSAGGIO  (AVEC) - LOTTO  25</t>
  </si>
  <si>
    <t>DT.2263/2023+ DT.2292/2023 - SISTEMI DI ACCESSO  VENOSO  ED ARTERIOSO E DISPOSITIVI DI  FISSAGGIO  (AVEC) - LOTTO 26</t>
  </si>
  <si>
    <t>DT.2263/2023+ DT.2292/2023 - SISTEMI DI ACCESSO  VENOSO  ED ARTERIOSO E DISPOSITIVI DI  FISSAGGIO  (AVEC) - LOTTO  27</t>
  </si>
  <si>
    <t xml:space="preserve">PLAN 1 HEALTH SRL </t>
  </si>
  <si>
    <t>DT.2263/2023+ DT.2292/2023 - SISTEMI DI ACCESSO  VENOSO  ED ARTERIOSO E DISPOSITIVI DI  FISSAGGIO  (AVEC) - LOTTO  28</t>
  </si>
  <si>
    <t>DT.2263/2023+ DT.2292/2023 - SISTEMI DI ACCESSO  VENOSO  ED ARTERIOSO E DISPOSITIVI DI  FISSAGGIO  (AVEC) - LOTTO 29</t>
  </si>
  <si>
    <t>DT.2263/2023+ DT.2292/2023 - SISTEMI DI ACCESSO  VENOSO  ED ARTERIOSO E DISPOSITIVI DI  FISSAGGIO  (AVEC) - LOTTO  31</t>
  </si>
  <si>
    <t>DT.2263/2023+ DT.2292/2023 - SISTEMI DI ACCESSO  VENOSO  ED ARTERIOSO E DISPOSITIVI DI  FISSAGGIO  (AVEC) - LOTTO 32</t>
  </si>
  <si>
    <t>DT.2263/2023+ DT.2292/2023 - SISTEMI DI ACCESSO  VENOSO  ED ARTERIOSO E DISPOSITIVI DI  FISSAGGIO  (AVEC) - LOTTO  33</t>
  </si>
  <si>
    <t>Det. 2224/2023 - Rinnovo contratto di cui alla procedura aperta per la gestione delle attivitÃ  multidisciplinari di consulenza e progettazione per il sostegno alle autonomie delle disabilitÃ  - Lotto 1) Centro Regionale Ausili (CRA) del DSM</t>
  </si>
  <si>
    <t>Det. 2224/2023 - Rinnovo contratto di cui alla procedura aperta per la gestione delle attivitÃ  multidisciplinari di consulenza e progettazione per il sostegno alle autonomie delle disabilitÃ  - Lotto 2) Centro Adattamento Ambiente Domestico (CAAD)</t>
  </si>
  <si>
    <t>DET.2250/23-Dispositivi medici per Emodinamica (esclusi stent) Lotto 52 - Proroga</t>
  </si>
  <si>
    <t>Adesione a convenzione Intercent-ER "Dispositivi di protezione individuale 4" - lotto 1 calzature prof.li da lavoro - per l'Ausl di Bologna. Det. n. 2289 del 27/09/2023</t>
  </si>
  <si>
    <t>Adesione a convenzione Intercent-ER "Dispositivi di protezione individuale 4" - lotto 2 calzature prof.li sanitarie - per l'Ausl di Bologna. Det. n. 2289 del 27/09/2023</t>
  </si>
  <si>
    <t>Adesione a convenzione Intercent-ER "Dispositivi di protezione individuale 4" - lotto 3 calzature prof.li di sicurezza - per l'Ausl di Bologna. Det. n. 2289 del 27/09/2023</t>
  </si>
  <si>
    <t>CONVENZIONE INTERCENT-ECOGRAFI 2-LOTTO 1 PER AUSLBO-DET.2358 DEL 3.10.2023</t>
  </si>
  <si>
    <t>CONVENZIONE INTERCENT-ECOGRAFI 2-LOTTO 2 X AUSLBO-DET. 2358 DEL 3.10.2023</t>
  </si>
  <si>
    <t>Esaote</t>
  </si>
  <si>
    <t>CONVENZIONE INTERCENT-ECOTOGRAFI 2-LOTTO 7 PER AUSLBO-DET. 2358 DEL 3.10.2023</t>
  </si>
  <si>
    <t>Proroga tecnica, contrattualmente prevista, del servizio di somministrazione di lavoro temporaneo per Ausl di Bologna - Det. n.2277 del 26/09/2023</t>
  </si>
  <si>
    <t>Randstad Italia S.p.A.</t>
  </si>
  <si>
    <t>det 2276/23 contratto ponte farmaco esclusivo TABRECTA</t>
  </si>
  <si>
    <t>det contratto ponte farmaco esclusivo TEPMETKO</t>
  </si>
  <si>
    <t>Det 2290/2023  Ulteriore adesione alla convenzione Accordo Quadro Medicinali Biologici e Biosimilari 2023-2024 "Adalimumab"</t>
  </si>
  <si>
    <t>CELLTRION HEALTHCARE ITALY S.R.L.</t>
  </si>
  <si>
    <t>STIPULA CONTRATTO PONTE EX DETERMINA AUSILI PER DISABILI 3-DET. 2366 DEL 6.10.2023</t>
  </si>
  <si>
    <t>VASSILLI SRL</t>
  </si>
  <si>
    <t>DET.2320/2023  FORNITURA,  DI SISTEMI DI PLACCHE, VITI E RETI PER FISSAZIONE CRANICA</t>
  </si>
  <si>
    <t>Det 2371/2023 Terapia Antalgica</t>
  </si>
  <si>
    <t>Det 2371/2023 TERAPIA ANTALGICA</t>
  </si>
  <si>
    <t>DET.2321/23-TNT STERILE Proroga</t>
  </si>
  <si>
    <t>det.2336/2023 Proroga tecnica dei contratti per la fornitura di dispositivi medici e protesi per endoscopia digestiva</t>
  </si>
  <si>
    <t>Det 2371/2023</t>
  </si>
  <si>
    <t>AMS GROUP S.R.L. S.U.</t>
  </si>
  <si>
    <t>Det. nr. 2735 del 21/11/2023 - Acquisto a completamento di attrezzature endoscopiche Fujifilm</t>
  </si>
  <si>
    <t>FUJIFILM Italia SpA</t>
  </si>
  <si>
    <t>DET. 2363/23 RINNOVO BIENNALE SERVICE SISTEMI PER LA GESTIONE DI ALTA AUTOMAZIONE CAMPIONI BIOLOGICI WASP DELLA BATTERIOLOGIA AVEC</t>
  </si>
  <si>
    <t>A.D.A.  Srl</t>
  </si>
  <si>
    <t>DET. 2380/2023 ESITO SDA FORNITURA FARMCI ESTERI 2023/25 - LOTTO 2</t>
  </si>
  <si>
    <t>DET.2987/23 LOTTO 1  APPARECCHIO PER ANESTESIA E RELATIVO MATERIALE DI CONSUMO</t>
  </si>
  <si>
    <t>DET.2987/23 LOTTO 2 MONITOR PARAMETRI VITALI</t>
  </si>
  <si>
    <t>DET.2987/23 LOTTO 3 SISTEMA INFUSIONALE</t>
  </si>
  <si>
    <t>DETE 3135 del 27.12.2023 FORNITURA DI N. 3 TAVOLI OPERATORI</t>
  </si>
  <si>
    <t>Cantel Medical (Italy) S.r.l. a socio unico</t>
  </si>
  <si>
    <t>Det. 2367/2023 contratto ponte per soluzioni infusionali 2023/24</t>
  </si>
  <si>
    <t>DET.2374/23 FORNITURA BIENNALE DI MATERIALE DI CONSUMO DEDICATO PER IL FUNZIONAMENTO DI SISTEMI MOTORIZZATI PER ORTOPEDIA A MARCA ZIMMER BIOMET</t>
  </si>
  <si>
    <t>ZIMMER BIOMET ITALIA Srl</t>
  </si>
  <si>
    <t>SISTEMI PER TEST SIEROLOGICI PER LA DIAGNOSI DI MALARIA E LEISHMANIOSI</t>
  </si>
  <si>
    <t>EUROIMMUN ITALIA S.R.L.</t>
  </si>
  <si>
    <t>ACQUISTO A COMPLETAMENTO DI SISTEMI DI PROPRIETA' ATTREZZATURE ENDOSCOPICHE OLYMPUS - AUSL BO</t>
  </si>
  <si>
    <t>DPO_CIG DERIVATO RINNOVO CONTRATTUALE PER GESTIONE GRUPPO APPARTAMENTO DISABILI ADULTI "CASA ISORA" - CADIAI</t>
  </si>
  <si>
    <t>Adesione a convenzione Intercent-ER "Dispositivi di protezione individuale 4", lotto 4 DPI capo, udito, ecc., per l'Ausl di Bologna - Det. n. 2495 del 23/10/2023</t>
  </si>
  <si>
    <t>SAFE SRL UNIPERSONALE</t>
  </si>
  <si>
    <t>Adesione a convenzione Intercent-ER "Dispositivi di protezione individuale 4", lotto 10 FFP3 senza valvola, per l'Ausl di Bologna - Det. n. 2495 del 23/10/2023</t>
  </si>
  <si>
    <t>MABE S.R.L.</t>
  </si>
  <si>
    <t>Adesione a convenzione Intercent-ER "Dispositivi di protezione individuale 4", lotto 9 FFP2 senza valvola, per l'Ausl di Bologna - Det. n. 2495 del 23/10/2023</t>
  </si>
  <si>
    <t>ROTOFORM S.R.L.</t>
  </si>
  <si>
    <t>Adesione a convenzione Intercent-ER " Dispositivi di protezione individuale 4", lotto 7 DPI monouso corpo, per l'Ausl di Bologna - Det. n. 2495 del 23/10/2023</t>
  </si>
  <si>
    <t>APOGEO - S.R.L.</t>
  </si>
  <si>
    <t>DETE.2670/2023 Esito PN per acquisizione servizi informatici per la definizione delle strategie svliluppo digitale e attivitÃ  di Telemedicina</t>
  </si>
  <si>
    <t>PARTNERS4INNOVATION S.R.L.</t>
  </si>
  <si>
    <t>DET.2394/23- DM PER EMODINAMICA ESCLUSI STENT Lotti Boston Scientific</t>
  </si>
  <si>
    <t>DET.  2446/23  ADESIONE convensione intercenter  FARMACO TREPROSTINIL SODICO</t>
  </si>
  <si>
    <t>DET. 2443/2023 RINNOVO PIASTRE MONOUSO PER DEFIBRILLATORI</t>
  </si>
  <si>
    <t>DET 2443/2023 RINNOVO PIASTRE MONOUSO PER DEFIBRILLATORI</t>
  </si>
  <si>
    <t>DET.2443/2023. RINNOVO PIASTRE MONOUSO PER DEFIBRILLATORI</t>
  </si>
  <si>
    <t>DET.2443/2023 RINNOVO PIASTRE MONOUSO PER DEFIBRILLATORI</t>
  </si>
  <si>
    <t>Proroga tecnica fornitura cancelleria tradizionale a ridotti impatto ambientale nelle more attivazione nuova convenzione Intercent-ER. Det. n. 2447 del 16/10/2023</t>
  </si>
  <si>
    <t>ERREBIAN S.P.A.</t>
  </si>
  <si>
    <t>DET. N. 2957/23 acquisto di un microscopio operatorio per le esigenze della U.O. Neurochirurgia per AUSLBO</t>
  </si>
  <si>
    <t>Formazione DNA ed equipe multidisciplinari</t>
  </si>
  <si>
    <t>FONDAZIONE C.E.U.B</t>
  </si>
  <si>
    <t>DT 2484/2023 - APPARECCHI ORTODONTICI - Affidamento diretto</t>
  </si>
  <si>
    <t>DET.2480/23-STRISCE REATTIVE E SISTEMI PER LA DIAGNOSTICA RAPIDA DELLA GLICEMIA Adesione INTERCENTER Lotto1</t>
  </si>
  <si>
    <t>A. MENARINI DIAGNOSTICS SRL</t>
  </si>
  <si>
    <t>DET.2480/23-STRISCE REATTIVE E SISTEMI PER LA DIAGNOSTICA RAPIDA DELLA GLICEMIA Adesione INTERCENTER Lotto 2</t>
  </si>
  <si>
    <t>DE.2987/23 LOTTO 4 VENTILATORE POLMONARE E RELATIVO MATERIALE DI CONSUMO</t>
  </si>
  <si>
    <t>P.A. PROTESI VASCOLARI E PATCH LOTTO 1</t>
  </si>
  <si>
    <t>det. 2489/2023 FORNITURA DI N. 6 SISTEMI VIDEO-EONDOSCOPICI E RELATIVO MATERIALE DI CONSUMO PER LE ESIGENZE- DELLâ€™AZIENDA USL DI BOLOGNA- ricorso alle opzioni di cui allâ€™art. 106 comma 1 lett.a) del D.Lgs.vo 50/2016</t>
  </si>
  <si>
    <t>P.A.PROTESI VASCOLARI E PATCH LOTTO 2</t>
  </si>
  <si>
    <t>P.A PROTESI VASCOLARI E PATCH LOTTO 4</t>
  </si>
  <si>
    <t>P.A. PROTESI VASCOLARI E PATCH LOTTO 5</t>
  </si>
  <si>
    <t>P.A. PROTESI VASCOLARI E PATCH LOTTO 7</t>
  </si>
  <si>
    <t>P.A. PROTESI VASCOLARI E PATCH LOTTO 8</t>
  </si>
  <si>
    <t>P.A PROTESI VASCOLARI E PATCH LOTTO 10</t>
  </si>
  <si>
    <t>P.A. PROTESI VASCOLARI E PATCH LOTTO 11</t>
  </si>
  <si>
    <t>P.A. PROTESI VASCOLARI E PATCH LOTTO 14</t>
  </si>
  <si>
    <t>P.A. PROTESI VASCOLARI E PATCH LOTTO 16</t>
  </si>
  <si>
    <t>P.A. PROTESI VASCOLARI E PATCH LOTTO 17</t>
  </si>
  <si>
    <t>Rinnovo contrattualmente previsto fornitura di etichette ed etichette termiche per stampanti per Ausl di Bologna - lotto 1 (etichette per laboratorio analisi) per Ausl di Bo . Det. n. 2490 del 20/10/2023</t>
  </si>
  <si>
    <t>Rinnovo contrattualmetne previsto per la fornitura di etichette e etichette termiche per stampanti - lotto 2 (etichette centro raccolta sangue e Trasfusionale) per l'Ausl di Bo. Det. n. 2490 del 20/10/2023</t>
  </si>
  <si>
    <t>det. 2485/2023 contratto ponte farmaco esclusivo Scemblix</t>
  </si>
  <si>
    <t>DET.2503/23 Materiale di consumo per attrezzature BURKE &amp; BURKE di proprietaâ€™</t>
  </si>
  <si>
    <t>MANUTENZIONE ATTREZZATURE AGLENT PER AOUBO</t>
  </si>
  <si>
    <t>Linet Italia S.r.l. unipersonale</t>
  </si>
  <si>
    <t>RINNOVO DISPOSITIVI PER EMOGLOBINA DA DIGITOPUNTURA</t>
  </si>
  <si>
    <t>INFRATEC SRL</t>
  </si>
  <si>
    <t>DET.2529/23-STRISCE REATTIVE PER GLICEMIA (AMBITO TERRITORIALE) PER CONTINUITAâ€™ TERAPEUTICA Contratto Ponte</t>
  </si>
  <si>
    <t>FORNITURA TOMOGRAFI COMPUTERIZZATI 128 SLICE PNRRM6C2 1.1 LOTTO 1-DET. 2413 12.10.2023</t>
  </si>
  <si>
    <t>DPE - COOP. ORTO GAP KAIROS OTTOBRE 2023 - DICEMBRE 2026</t>
  </si>
  <si>
    <t>DET.2530/23-LENTI INTRAOCULARI, MATERIALE VISCOELASTICO E SOLUZIONI Proroga tecnica</t>
  </si>
  <si>
    <t>Procedura negoziata per NOLEGGIO 24 mesi Sistema SW rapid AI per la diagnori angiografica biplanare - AUSLBO - Determina n. 2903 del 07.12.2023</t>
  </si>
  <si>
    <t>ACTIVA SRL</t>
  </si>
  <si>
    <t>DET.3159/2023 FORNITURA DI UN PORTATILE PER RADIOGRAFIA PER BENTIVOGLIO</t>
  </si>
  <si>
    <t>SAMSUNG ELECTRONICS ITALIA S.P.A.</t>
  </si>
  <si>
    <t>DET. 2579/2023 FORNITURA IN SERVICE SISTEMI SPYGLASS</t>
  </si>
  <si>
    <t>Det. 2593/2023 - AUSL BO â€“ Estensione PA PI 298359-19 - Servizio gestione di attivitÃ  abilitative e psicoeducative per utenti con disturbi dello spettro autistico in tutte le etÃ  della vita e in tutte le fasi del percorso diagnostico-terapeutico</t>
  </si>
  <si>
    <t>RTI SCUTER - AIAS</t>
  </si>
  <si>
    <t>Scu.ter - Scuola Territorio societÃ  coop sociale</t>
  </si>
  <si>
    <t>DET.2601/23 AUSLBO ADESIONE INTERCENT-ER AFFIDAMENTO DEI SERVIZI DI MANUTENZIONE, ASSISTENZA TECNICAE SERVIZI PROFESSIONALI DEGLI APPLICATIVI UTILIZZATI IN LICENZA D'USO</t>
  </si>
  <si>
    <t>CONTRATTO PONTE FORNITURA PRODOTTI CARTARI PER AUSLBO-DET. 2595 DEL 7.11.2023</t>
  </si>
  <si>
    <t>Progetto PNRR M6 C2 1.3.1 - (FSE) (b) â€œAdozione e utilizzo dellâ€™FSE da parte delle Regioniâ€ - Acquisto varie tipologie di giornate per adeguamento applicativo DNLAB</t>
  </si>
  <si>
    <t>det 2664/2023 contratto ponte farmaco esclusivo Tavlesse</t>
  </si>
  <si>
    <t>det 2664/2023 contratto ponte farmaco esclusivo VYVGART</t>
  </si>
  <si>
    <t>ARGENX ITALY SRL</t>
  </si>
  <si>
    <t>DET.2661/23 RINNOVO GALENICI LOTTO 2 CALCIO ACETATO</t>
  </si>
  <si>
    <t>DET.2661/23 RINNOVO GALENICI LOTTO LOTTO 4 CREMA BARRIERA</t>
  </si>
  <si>
    <t>DET.2661/23 RINNOVO GALENICI LOTTO 5 CREMA BASE</t>
  </si>
  <si>
    <t>DET.2661/23 RINNOVO GALENICI LOTTO 9 OSSIDO DI ZINCO</t>
  </si>
  <si>
    <t>DET.2661/23 RINNOVO GALENICI LOTTO 18 OLIO MANDORLE DOLCI</t>
  </si>
  <si>
    <t>DET.1661/23 RINNOVO GALENICI LOTTO 19 PARAFFINA LIQUIDA</t>
  </si>
  <si>
    <t>DET.2661/23 RINNOVO GALENICI LOTTO 20 VASELLINA BIANCA</t>
  </si>
  <si>
    <t>DET.2661/23 RINNOVO GALENICI LOTTO 21 VASELLINA BIANCA FILANTE</t>
  </si>
  <si>
    <t>DET.2661/23 RINNOVO GALENICI LOTTO 23 CARBONE ATTIVO POLVERE</t>
  </si>
  <si>
    <t>DET.2661/23 RINNOVO GALENICI LOTTO 41 AMINOPIRIDINA P.</t>
  </si>
  <si>
    <t>DET.2661/23 RINNOVO GALENICI LOTTO 43 ACIDO ALFA LIPOICO</t>
  </si>
  <si>
    <t>DET.2661/23 RINNOVO GALENICI LOTTO 46 GLICEROLO</t>
  </si>
  <si>
    <t>DET.2661/23 RINNOVO GALENICI LOTTO 49 POTASSIO CITRATO P.</t>
  </si>
  <si>
    <t>DET.2661/23 RINNOVO GALENICI LOTTO 54 TIAMINA C.</t>
  </si>
  <si>
    <t>DET.2661/23 RINNOVO GALENICI LOTTO 62 SORBITOLO S.</t>
  </si>
  <si>
    <t>DET.2661/23 RINNOVO GALENICI LOTTO 67 SACCAROSIO S.</t>
  </si>
  <si>
    <t>DET.2661/23 RINNOVO GALENICI LOTTO 72 OLIO DI RICINO</t>
  </si>
  <si>
    <t>DET.2678/23 Rinnovo annuale dei contratti di fornitura di dispositivi medici per neurochirurgia</t>
  </si>
  <si>
    <t>INTEGRA LIFESCIENCES ITALY SRL</t>
  </si>
  <si>
    <t>DET.2845/23 FORNITURA DI N. 1 PORTATILE PER RADIOGRAFIA PER UTIN OSPEDALE MAGGIORE</t>
  </si>
  <si>
    <t>PROROGA FORNITURA CARTA PER RISME . DET.2674 16.11.2023</t>
  </si>
  <si>
    <t>Adesione convenzione Intercent-Er "Servizio postali 2" per il lotto 1 "Servizi di recapito". Ulteriori provvedimenti - Det. n. 2717 del 21/11/2023</t>
  </si>
  <si>
    <t>POSTE ITALIANE S.P.A.- SOCIETÃ  CON SOCIO UNICO</t>
  </si>
  <si>
    <t>DET. N. 2740/2023 - AZIENDE USL REGIONE EMILIA-ROMAGNA - Proroga contratti PA PI047778-18 - Servizio per la realizzazione progettuale, operativa e valutativa dei percorsi di supporto allâ€™impiego IPS</t>
  </si>
  <si>
    <t>RTI IPS</t>
  </si>
  <si>
    <t>IL MARTIN PESCATORE SOCIETA\' COOPERATIVA SOCIALE - O.N.L.U.S.</t>
  </si>
  <si>
    <t>Integrazione per fornitura di detergenti e disinfettanti per attrezzature sanitarie per Ausl di Bologna, lotto 1 - riferimento Det. n. 594 del 07/03/2022</t>
  </si>
  <si>
    <t>GIOCHEMICA srl</t>
  </si>
  <si>
    <t>Integrazione per fornitura di detergenti e disinfettanti per attrezzature sanitarie per Ausl di Bologna, lotto 2 - riferimento Det. n. 594 del 07/03/2022</t>
  </si>
  <si>
    <t>Integrazione per fornitura di detergenti e disinfettanti per attrezzature sanitarie per Ausl di Bologna, lotto 3 - riferimento Det. n. 594 del 07/03/2022</t>
  </si>
  <si>
    <t>DET.2767/23-TNT NON STERILE contratto ponte</t>
  </si>
  <si>
    <t>DET.2774/23 AVEC RINNOVO TRIENNALE SERVICE SISTEMI ANALITICI DI CITOFLUORIMETRIA.</t>
  </si>
  <si>
    <t>PI376891-23 - ORDINE PNRR GIORNATE ENGINEERING FSE 2.0 - PROGETTO PNRR M6 C2 1.3.1 - RAFFORZAMENTO DELL'INFRASTRUTTURA TECNOLOGICA E DEGLI STRUMENTI PER LA RACCOLTA, L'ELABORAZIONE</t>
  </si>
  <si>
    <t>Progetto PNRR M6 C2 1.3.1 - Rafforzamento dellâ€™Infrastruttura tecnologica e degli strumenti per la raccolta, lâ€™elaborazione, lâ€™analisi dei dati e la simulazione (FSE) (b) adeguamento applicativo SIAVR</t>
  </si>
  <si>
    <t>EL.CO SRL</t>
  </si>
  <si>
    <t>DET.2778/23 CONTRATTO PONTE FARMACO ESCLUSIVO QINLOCK-EUROMED PHARMA</t>
  </si>
  <si>
    <t>DET.2796/2023 RINNOVO BIENNALE FORNITURA IN NOLEGGIO N. 2 BISTURI AD ULTRASUONI E MATERIALE DI CONSUMO</t>
  </si>
  <si>
    <t>PROROGA SERVICE SISTEMI DIAGNOSTICI PER AUTOIMMUNITA'</t>
  </si>
  <si>
    <t>Thermo Fisher Diagnostics S.p.A.</t>
  </si>
  <si>
    <t>DET.2806/23-DM PER EMODINAMICA (esclusi stent) Proroga Tecnica</t>
  </si>
  <si>
    <t>25-AFFIDAMENTO DIRETTO A SOCIETA' RAGGRUPPATE/CONSORZIATE O CONTROLLATE NELLE CONCESSIONI E NEI PARTENARIATI</t>
  </si>
  <si>
    <t>DET. 2997-2023 PNRR INTERCENTER MIGRAZIONE APPLICATIVI SU CLOUD</t>
  </si>
  <si>
    <t>DET 2875/2023 PNRR Missione 6 Adesione mammografi digitali con tomo sintesi</t>
  </si>
  <si>
    <t>technologic srl</t>
  </si>
  <si>
    <t>DET. 2875/2023 PNRR MISSIONE 6 TOMOGRAFI DIGITALI CON TOMO SINTESI</t>
  </si>
  <si>
    <t>IMS GIOTTO SPA</t>
  </si>
  <si>
    <t>det 2875/2023 PNRR MISSIONE 6 MAMMOGRAFI DIGITALI CON TOMOSINTESI</t>
  </si>
  <si>
    <t>Det 2850/23 Ulteriore adesione medicinali e radiofarmaci 2023-2025 lotto 595 - Soliris</t>
  </si>
  <si>
    <t>RINNOVO SERVICE SISTEMI MODULARI PER PLASMAFERESI PRODUTTIVA</t>
  </si>
  <si>
    <t>Progetto PNRR M1 C1 - Avviso Pubblico multimisura 1.1 e 1.2 Infrastrutture digitali e abilitazione al cloud' - ASL/AO (marzo 2023) - M1C1 PNRR FINANZIATO DALL'UNIONE EUROPEA â€“ NextGenerationEU</t>
  </si>
  <si>
    <t>DET. 2997-2023 PNRR INTERCENTER MIGRAZIONE APPLICATIVI SU DATACENTER LEPIDA</t>
  </si>
  <si>
    <t>det 3090/23 convenzione medicinali 24-25 lotti 5 112 117 152 153</t>
  </si>
  <si>
    <t>det 3090/23 adesione convenzione medicinali 2024-2025 lotto 68</t>
  </si>
  <si>
    <t>DET 3090/23 Adesione Intercenter Medicinali 2024 - 2025 lotti 7 8 50 59 66 VIATRIS ITALIA S.R.L.</t>
  </si>
  <si>
    <t>det 3090/23 convenzione medinali 24-25 ALMIRALL S.P.A. lotto 116</t>
  </si>
  <si>
    <t>Almirall S.p.A.</t>
  </si>
  <si>
    <t>det 3090/23 convenzione medicinali 24-25 lotto 17 ALNYLAM ITALY S.R.L</t>
  </si>
  <si>
    <t>ALNYLAM ITALY SRL</t>
  </si>
  <si>
    <t>det 3090/23 convenzione medicinali 24-25 lotto 102 AMGEN S.R.L.</t>
  </si>
  <si>
    <t>AMGEN SRL</t>
  </si>
  <si>
    <t>det 3090/23 Adesione Intercenter Medicinali 2024 - 2025 lotti 86 94 ASTELLAS PHARMA S.P.A.</t>
  </si>
  <si>
    <t>det 3090/23 Adesione Intercenter Medicinali 2024 - 2025 lotti 9 114 ASTRAZENECA S.P.A. altro CIG A017526F5B A0174BA63E</t>
  </si>
  <si>
    <t>DET 3090/23 ADESIONE INTERCENTER MEDICINALI 24-25 LOTTI 118 133 142 UCB PHARMA S.P.A.</t>
  </si>
  <si>
    <t>det 3090/23 convenzione medicinali 24-25 lotto 120 B. BRAUN MILANO S.P.A.</t>
  </si>
  <si>
    <t>Det 3090/23 adesione convenzione medicinali 2024-2025 lotti 20 42 45 106</t>
  </si>
  <si>
    <t>det 3090/23 convenzione medicinali 24-25 lotti 75-109 BRISTOL-MYERS SQUIBB S.R.L.</t>
  </si>
  <si>
    <t>Bristol-Myers Squibb Srl</t>
  </si>
  <si>
    <t>det 3090/23 adesione medicinali 2024-2025 lotti 15 143 147 148 - Chiesi Italia</t>
  </si>
  <si>
    <t>CHIESI ITALIA SPA</t>
  </si>
  <si>
    <t>DET 3090/23 ADESIONE CONVENZIONE INTERCENTER MEDICINALI 24-25  lotti 37 146 SWEDISH ORPHAN BIOVITRUM S.R.L.</t>
  </si>
  <si>
    <t>Swedish Orphan Biovitrum Srl</t>
  </si>
  <si>
    <t>Adesione Intercenter Medicinali 2024 - 2025 lotti 23 27 CSL BEHRING SPA</t>
  </si>
  <si>
    <t>det 3090/23 adesione medicinali 2024-2025 lotti 55 83 eli lilly</t>
  </si>
  <si>
    <t>ELI LILLY ITALIA S.p.A.</t>
  </si>
  <si>
    <t>det 3090/23 Adesione Intercenter Medicinali 2024 - 2025 lotti 19 39 SANOFI S.r.l.</t>
  </si>
  <si>
    <t>det 3090/23 Adesione Intercenter Medicinali 2024 - 2025 lotti  16 53 54 98 103 EUROMED PHARMA S.R.L.</t>
  </si>
  <si>
    <t>det 3090/23 adesione medicinali 24-25 Samsung Bioepis NL BV lotto 1</t>
  </si>
  <si>
    <t>SAMSUNG BIOEPIS NL BV</t>
  </si>
  <si>
    <t>det 3090 adesione medicinali 2024-2025 lotto 64 gilead</t>
  </si>
  <si>
    <t>det 3090/23 Adesione Intercenter Medicinali 2024 - 2025 lotti 79 82 PIERRE FABRE PHARMA S.R.L.</t>
  </si>
  <si>
    <t>Pierre Fabre Pharma</t>
  </si>
  <si>
    <t>det 3090/23 convenzione medicinali 24-25 lotto 26 GRIFOLS ITALIA S.P.A.</t>
  </si>
  <si>
    <t>det 3090/23 Adesione Intercenter Medicinali 2024 - 2025 lotti 40 76 77 93 PFIZER S.R.L.</t>
  </si>
  <si>
    <t>det 3090/23 Adesione Intercenter Medicinali 2024 - 2025 lotti 57 135 HIKMA ITALIA S.P.A.</t>
  </si>
  <si>
    <t>HIKMA ITALIA S.P.A.</t>
  </si>
  <si>
    <t>det 3090/23 convenzione mediinali 24-25 lotto 113 HORIZON THERAPEUTICS IRELAND D.A.C.</t>
  </si>
  <si>
    <t>HORIZON LAB COMPANY SRL</t>
  </si>
  <si>
    <t>det 3090/23 covenzione medicinali 24-25 lotto 48 IBSA FARMACEUTICI ITALIA S.R.L.</t>
  </si>
  <si>
    <t>IBSA FARMACEUTICI ITALIA</t>
  </si>
  <si>
    <t>det 3090/23 adesione medicinali 24-25 lotto 139 INNOVA  PHARMA SPA</t>
  </si>
  <si>
    <t>INNOVA PHARMA S.p.A.</t>
  </si>
  <si>
    <t>det 3090/23 adesione medicinali 24-25 lotti 144-41 NORGINE ITALIA SRL</t>
  </si>
  <si>
    <t>det 3090/23 adesione medicinali 2024-2025 lotti 95 105 134 141 Janssen</t>
  </si>
  <si>
    <t>det 3090/23 Adesione Intercenter Medicinali 2024 - 2025 lotti 11 65 67 70 71 MSD ITALIA S.R.L.</t>
  </si>
  <si>
    <t>det 3090/23 Adesione Intercenter Medicinali 2024 - 2025 lotti 4 145 L. MOLTENI &amp; C. DEI FRATELLI ALITTI - SOCIETA' DI ESERCIZIO - S.P.A. altro CIG A0175469C5 A0174B414C</t>
  </si>
  <si>
    <t>DET.2956/23 RINNOVO fornitura di soluzione viscoelastica composta da acido ialuronico e sorbitolo</t>
  </si>
  <si>
    <t>Adesione Intercenter Medicinali 2024 â€“ 2025 lotto 115 ARGENX ITALY S.R.L.</t>
  </si>
  <si>
    <t>INTERCENTER ARREDI 5 LOTTO 3  PI376653-23 - PNRR Centrale Operativa Territoriale Distretto CittÃ  di Bologna â€“ Quartieri San Donato-San Vitale -Fornitura sedute CUP E37H22000390006 - PROT UFFICIO TECNICO 138821 DEL 22/12/2023</t>
  </si>
  <si>
    <t>Prosecuzione ult. 6 mesi contratto ponte fornitura accessori per consumazione pasti a ridotto impatto ambientale nelle more gara Intercent-Er per Ausl di Bologna. Det . n. 2964 del 13/12/2023</t>
  </si>
  <si>
    <t>DET.3001/23 PROROGA TECNICA FORNITURA IN SERVCE DISPOSITIVI MEDICI FINALIZZATI AL MONITORAGGIO EMODINAMICO INVASIVO AVANZATO DITTA EDWARDS</t>
  </si>
  <si>
    <t>DET.3001/23 PROROGA TECNICA FORNITURA DI DISPOSITIVI MEDICI FINALIZZATI AL MONITORAGGIO EMODINAMICO INVASIVO DITTA GETINGE</t>
  </si>
  <si>
    <t>DPE - SOLCO LIBERTAS - GAP CASA S. MARTINO - 20/10/2023 - 31/12/2024</t>
  </si>
  <si>
    <t>DPE - ASS. PAPA GIOVANNI XXIII - VILLAGGIO DELLA GIOIA 11/09/2023 - 31/12/2026</t>
  </si>
  <si>
    <t>ASSOCIAZIONE COMUNITA' PAPA GIOVANNI XXIII - VIA MAMELI, 1 RIMINI</t>
  </si>
  <si>
    <t>DPE - PICTOR SO.COOP. CSO ASSEMBLAMENTE 06/11/2023 - 31/12/2026</t>
  </si>
  <si>
    <t>PICTOR SOCIETA' COOPERATIVA SOCIALE IMPRESA SOCIALE</t>
  </si>
  <si>
    <t>DET. 2891 del 05/12/2023 - Pubblicazione delle informazioni obbligatorie sui quitidiani - dicembre 2023 - Concessionaria Speed</t>
  </si>
  <si>
    <t>Concessionaria Speed spa</t>
  </si>
  <si>
    <t>QUARIS SRL</t>
  </si>
  <si>
    <t>THI Total Healthcare Innovation Srl</t>
  </si>
  <si>
    <t>NUOVE SINCRONIE TRA TERRITORIO E OSPEDALE 2023</t>
  </si>
  <si>
    <t>AESS</t>
  </si>
  <si>
    <t>ACQUISTO MINISEPARE'</t>
  </si>
  <si>
    <t>Acqu. urgente mat. consumo integra</t>
  </si>
  <si>
    <t>ASSISTENZA TECNICA 2023 DITTA TEC MED MARCHE</t>
  </si>
  <si>
    <t>ACQUISTO STRUMENTARIO PI332704-23</t>
  </si>
  <si>
    <t>Assut Europe S. p. A.</t>
  </si>
  <si>
    <t>DBO - Concorso di idee e-Care 2023 per lo svolgimento di attivitÃ  di sostegno alla fragilitÃ , promozione dellâ€™invecchiamento attivo e prevenzione della non autosufficienza - IAM - Intersectionalities and more "Consapevolmente Insieme" - ANNO 2023</t>
  </si>
  <si>
    <t>IAM Intersectionalities And more</t>
  </si>
  <si>
    <t>PROMEGA ITALIA</t>
  </si>
  <si>
    <t>Acquisto protezione mediboxer pantal mon colon</t>
  </si>
  <si>
    <t>ASSISTENZA TECNICA 2023 DITTA CYTIVA</t>
  </si>
  <si>
    <t>GE HEALTHCARE EUROPE GMBH - FILIALE ITALIANA</t>
  </si>
  <si>
    <t>Fujirebio Italia S.r.l.</t>
  </si>
  <si>
    <t>DBO - Concorso di idee e-Care 2023 per lo svolgimento di attivitÃ  di sostegno alla fragilitÃ , promozione dellâ€™invecchiamento attivo e prevenzione della non autosufficienza - Non perdiamo la testa - ANNO 2023</t>
  </si>
  <si>
    <t>ASSOCIAZIONE NON PERDIAMO LA TESTA</t>
  </si>
  <si>
    <t>LOMMAR S.r.l.</t>
  </si>
  <si>
    <t>(PO 728 - finanziato) - RDO Intercent-ERPI269645-23 - Acquisto materiale HW per PO 728 (INCONTRIAMOCI - UN PROGETTO DI INTEGRAZIONE) come da capitolato</t>
  </si>
  <si>
    <t>TEAM MEMORES COMPUTER S.p.A.</t>
  </si>
  <si>
    <t>PHARMAELLE SRL</t>
  </si>
  <si>
    <t>Acquisto Accessorio GE per ecografo Urologia san Giovanni</t>
  </si>
  <si>
    <t>ACQUISTO DIAGNOSTICI PER RICERCA</t>
  </si>
  <si>
    <t>TEMA RICERCA SRL</t>
  </si>
  <si>
    <t>BIOTRADING SRL</t>
  </si>
  <si>
    <t>TECNICA SCIENTIFICA srl</t>
  </si>
  <si>
    <t>DET.2983 del 13/12/2023 - Pubblicazione delle informazioni obbligatorie - dicembre 2023 - sulla Gazzetta Repubblica Italiana</t>
  </si>
  <si>
    <t>Istituto Poligrafico e Zecca dello Stato spa</t>
  </si>
  <si>
    <t>ACQUISTO MATERIALE GINECOLOGICO E DISPOSITIVI VARI MONOUSO</t>
  </si>
  <si>
    <t>RI.MOS. S.r.l.</t>
  </si>
  <si>
    <t>Acquisto sistema accessorio RM Philips Ospedale Maggiore</t>
  </si>
  <si>
    <t>H.D. HEALTH DEFENCE SPA</t>
  </si>
  <si>
    <t>BIOCRATES LIFE SCIENCES AG</t>
  </si>
  <si>
    <t>C. I. F. s.r.l.  Consorzio Imprese Funebri</t>
  </si>
  <si>
    <t>ASSISTENZA TECNICA 2023 DITTA Doctor Shop</t>
  </si>
  <si>
    <t>DOCTOR SHOP SRL</t>
  </si>
  <si>
    <t>ACQ. MATERIALE DI CONSUMO PER MICROSCOPIO VIDEOCAP- (DEDICATO)</t>
  </si>
  <si>
    <t>DS MEDICA S.R.L.</t>
  </si>
  <si>
    <t>SERVIZIO DI TRASPORTIO FUNEBRE SALMA DONATORE DI ORGANI</t>
  </si>
  <si>
    <t>Biagi Mario srl</t>
  </si>
  <si>
    <t>ACQUISTO FARMACI ESTERI</t>
  </si>
  <si>
    <t>Acquisto di n.3 lampade da visita per CAU - AUSL di Bologna</t>
  </si>
  <si>
    <t>I.M. MEDICAL SAS</t>
  </si>
  <si>
    <t>Acquisto Anoscopi, Rettoscopi ed Altri Dispositivi</t>
  </si>
  <si>
    <t>ACQUISTO CRANIOMETRI X MISURAZIONE CIRCONFERENZA CRANIO PREMATURI E NON</t>
  </si>
  <si>
    <t>DET. 2380/2023 ESITO SDA FORNITURA FARMCI ESTERI 2023/25 - LOTTO 8</t>
  </si>
  <si>
    <t>ACQUISTO SCHERMATURE PER SIRINGHE PER USO IN MEDICINA NUCLEARE</t>
  </si>
  <si>
    <t>ARPA S.R.L.</t>
  </si>
  <si>
    <t>SVAS BIOSANA S.R.L.</t>
  </si>
  <si>
    <t>AUSLBO - Aspetti clinici comportamentali utili per la valutazione del benessere del cane e del gatto e di eventuali segni di maltrattamento</t>
  </si>
  <si>
    <t>METATRON CENTRO VETERINARIO OLISTICO</t>
  </si>
  <si>
    <t>assistenza FR RMN Ospedale Maggiore - contratto UOIC23/17</t>
  </si>
  <si>
    <t>ACQUISTO ETICHETTE TERMICHE E NON PER REPARTI E SERVIZI OSPEDALIERI</t>
  </si>
  <si>
    <t>det 1649/23 adesione intercenter medicinali e radiofarmaci 2023/25_2 lotto 193</t>
  </si>
  <si>
    <t>OMNIVISION ITALIA S.R.L.</t>
  </si>
  <si>
    <t>DET. 2380/2023 ESITO SDA FORNITURA FARMCI ESTERI 2023/25 - LOTTO 19</t>
  </si>
  <si>
    <t>DBO - Concorso di idee e-Care 2023 per lo svolgimento di attivitÃ  di sostegno alla fragilitÃ , promozione dellâ€™invecchiamento attivo e prevenzione della non autosufficienza - Bolab aps "Social Mente lab " - ANNO 2023</t>
  </si>
  <si>
    <t>BOLAB APS</t>
  </si>
  <si>
    <t>Acquisto di n.1 Ozono terapia per il Programma Terapia del Dolore Ospedale Bellaria - AUSL Bologna.</t>
  </si>
  <si>
    <t>17-AFFIDAMENTO DIRETTO EX ART. 5 DELLA LEGGE 381/91</t>
  </si>
  <si>
    <t>ALNITEC S.R.L.</t>
  </si>
  <si>
    <t>TEGEA SRL</t>
  </si>
  <si>
    <t>ACQUISTO CONSUMABILI PER MASSAGGIATORE CARDIACO LUCAS</t>
  </si>
  <si>
    <t>Acq. Teli wrasfer X118</t>
  </si>
  <si>
    <t>OSCAR BOSCAROL SRL</t>
  </si>
  <si>
    <t>ACQUISTO STRUMENTARIO STORZ P.I PI295443-23</t>
  </si>
  <si>
    <t>DET. 3063 del 20/12/2023 - Pubblicazione delle informazioni obbligatorie sui quotidiani - dicembre 2023 â€“ Concessionaria Speed</t>
  </si>
  <si>
    <t>DET. 3046 del 19/12/2023 - Pubblicazione delle informazioni obbligatorie sui quotidiani - dicembre 2023 â€“ Concessionaria Speed</t>
  </si>
  <si>
    <t>Acquisto prodotti 3M Italia srl ad uso Odonto</t>
  </si>
  <si>
    <t>AUROGENE SRL</t>
  </si>
  <si>
    <t>DBO - Concorso di idee e-Care 2023 per lo svolgimento di attivitÃ  di sostegno alla fragilitÃ , promozione dellâ€™invecchiamento attivo e prevenzione della non autosufficienza - AICS "Casa in movimento 2." - ANNO 2023</t>
  </si>
  <si>
    <t>AICS COMITATO PROVINCIALE DI BOLOGNA</t>
  </si>
  <si>
    <t>Acquisto di n1 armadio si stoccaggio per infiammabili per il LUM Maggiore</t>
  </si>
  <si>
    <t>MAIEUTICA DI DIEGO BORLOTTI &amp; C. SNC</t>
  </si>
  <si>
    <t>DPO Progetto "Sollievo Caregiver" relativo a soggiorni brevi utenti CSRD Accanto (CADIAI). Periodo: Dicembre 2023</t>
  </si>
  <si>
    <t>Acquisto n.30 saturimetri a dito per la Pediatria Territoriale della Ausl di Bologna</t>
  </si>
  <si>
    <t>MEDITALIA SAS IMPORT EXPORT DI SALERNO MAURIZIO</t>
  </si>
  <si>
    <t>ACQUISTO STRUMENTARIO STORZ PER CHIRURGIA LAPAROSCOPICA</t>
  </si>
  <si>
    <t>RDO Intercent-ER - PI354514-23 Acquisto materiale informatico come da capitolato</t>
  </si>
  <si>
    <t>DATA SPEED S.R.L.</t>
  </si>
  <si>
    <t>ECO LASER INFORMATICA SRL</t>
  </si>
  <si>
    <t>DET. 2380/2023 ESITO SDA FORNITURA FARMCI ESTERI 2023/25 - LOTTO 7</t>
  </si>
  <si>
    <t>PROCEDURE ANALITICHE SUGLI EMOCOMPONENTI LEUCODEPLETI</t>
  </si>
  <si>
    <t>FLOW ASSESSMENT SRL</t>
  </si>
  <si>
    <t>ASSISTENZA TECNICA 2023 DITTA CANTEL</t>
  </si>
  <si>
    <t>Medic Italia srl</t>
  </si>
  <si>
    <t>DPE - SOC. COOP. "GLI AMICI DI GIGI" - CSO "IL LAVORO MOBILITA L'UOMO" - 16/10/2023-31/12/2026</t>
  </si>
  <si>
    <t>AMICI DI GIGI SOCIETA' COOPERATIVA SOCIALE ONLUS</t>
  </si>
  <si>
    <t>Innova Pharma S.P.A.</t>
  </si>
  <si>
    <t>ASSISTENZA TECNICA 2023 DITTA BIO-RAD</t>
  </si>
  <si>
    <t>BIO-RAD LABORATORIES SRL</t>
  </si>
  <si>
    <t>ACQ.URGENTE MATERIALE DI CONSUMO INFANT FLOW - IN ATTESA GARA SAAV</t>
  </si>
  <si>
    <t>VYAIRE SRL</t>
  </si>
  <si>
    <t>MEDICAL TRADING S.A.S. di Sita Cinzia &amp; C.</t>
  </si>
  <si>
    <t>Fornitura di 2 monitor fetali per UO Ostetricia e GINE AUSL BO per importo base asta â‚¬21.150,00 ofe con riserva acquisto nellâ€™arco di 24 mesi da aggiudicazione ulteriori forniture fino ad un ulteriore importo massimo di â‚¬17.850,00 ofe</t>
  </si>
  <si>
    <t>Acquisto materiale odontoiatrico Cat. Dentpsly</t>
  </si>
  <si>
    <t>fornitura carrelli stoccaggio</t>
  </si>
  <si>
    <t>FRANCEHOPITAL S.A.S.</t>
  </si>
  <si>
    <t>CFS ITALIA SRL</t>
  </si>
  <si>
    <t>DBO - Concorso di idee e-Care 2023 per lo svolgimento di attivitÃ  di sostegno alla fragilitÃ , promozione dellâ€™invecchiamento attivo e prevenzione della non autosufficienza - Officina delle Trasformazioni " Lenti Movimenti 2023 "- ANNO 2023</t>
  </si>
  <si>
    <t>OFFICINA DELLE TRASFORMAZIONI ASD-APS</t>
  </si>
  <si>
    <t>ACQUISTO TEST PSICODIAGNOSTICI VANNINI EDITORIA SCIENTIFICA</t>
  </si>
  <si>
    <t>VANNINI EDITORIA SCIENTIFICA SRL</t>
  </si>
  <si>
    <t>Contratto ponte servizio FR tavoli operatori OPT - 3 quadrimestre 2023 TEKLIFE</t>
  </si>
  <si>
    <t>TEKLIFE MEDICAL Srl</t>
  </si>
  <si>
    <t>Acquisto di n.1 monitor capnografo per TI Maggiore</t>
  </si>
  <si>
    <t>3M FORNITURE SRL</t>
  </si>
  <si>
    <t>det 3090/23 adesione medicinali 2024-2025 lotto 128</t>
  </si>
  <si>
    <t>ACQUISTO SISTEMI MOTORIZZATI PER ATTIVITA' MAXILLO FACCIALE</t>
  </si>
  <si>
    <t>ACQUISTO MATERIALE DI CONSUMO ORIGINALE STRYKER PER SISTEMI MOTORIZZATI DI NS.PROPRIETA</t>
  </si>
  <si>
    <t>FABBRI DR.SSA CELADON SERVIZI FARMACIA</t>
  </si>
  <si>
    <t>FARMACIA FABBRI DELLA D.SSA LUCIA CELADON &amp; C. S.N</t>
  </si>
  <si>
    <t>FORNITURA URGENTE CARROZZINE</t>
  </si>
  <si>
    <t>SERVIZIO DI COMUNICAZIONE/INFORMAZIONE PER L'IRCCS DELL'AZ.USL.DI BOLOGNA</t>
  </si>
  <si>
    <t>COLONNA DUILIO</t>
  </si>
  <si>
    <t>acquisto tappetini copristrumento telo in TNT Non Sterile</t>
  </si>
  <si>
    <t>Acquisto Materiale Piezosurgery_Mectron</t>
  </si>
  <si>
    <t>ACQUISTO SOTTO-SOGLIA FARMACI</t>
  </si>
  <si>
    <t>ACQUISTO DISPOSITIVI PER CHIRURGIA ORTOPEDICA E MAXILLO</t>
  </si>
  <si>
    <t>HOFER MEDICAL ITALIA SRL</t>
  </si>
  <si>
    <t>NEW PHARMA HORIZONS SRL</t>
  </si>
  <si>
    <t>DBO - Concorso di idee e-Care 2023 per lo svolgimento di attivitÃ  di sostegno alla fragilitÃ , promozione dellâ€™invecchiamento attivo e prevenzione della non autosufficienza - DidÃ¬ ad Astra "L'etÃ  non conta"- ANNO 2023</t>
  </si>
  <si>
    <t>DIDI AD ASTRA ASS.DI PROMOZIONE SOCIALE</t>
  </si>
  <si>
    <t>ISTITUTO BIOCHIMICO ITALIANO GIOVANNI LORENZINI S.P.A.</t>
  </si>
  <si>
    <t>Acquisto di sistema monitor e braccio a soffitto per ambulatorio di Bazzano</t>
  </si>
  <si>
    <t>Sistemi Avanzati Elettronici</t>
  </si>
  <si>
    <t>Next Medical s.r.l.</t>
  </si>
  <si>
    <t>ACQUSTO PROTESI</t>
  </si>
  <si>
    <t>Acquisto di n.1 Scaldaliquidi per il Blocco Operatorio dell'Ospedale Bellaria di Bologna</t>
  </si>
  <si>
    <t>MANUTENZIONI LAVAPADELLE</t>
  </si>
  <si>
    <t>STEELCO SERVICE SRL</t>
  </si>
  <si>
    <t>DET. 3088 del 21/12/2023 - Pubblicazione delle informazioni obbligatorie sui quotidiani - dicembre 2023 â€“ Concessionaria Manzoni</t>
  </si>
  <si>
    <t>MANZONI SPA</t>
  </si>
  <si>
    <t>Acquisto materiale odonto  vario C/EC 1001300101 + 1002700501  PI318865-23</t>
  </si>
  <si>
    <t>DBO - FRATERNITAâ€™ CRISTIANA OPERA PADRE MARELLA -INSERIMENTO UTENTI DISABILI C/O COMUNITAâ€™ GEMMANANNI COSTA_ 2023 - 2025</t>
  </si>
  <si>
    <t>FRATERNITA CRISTIANA OPERA PADRE MARELLA CITTA DEI</t>
  </si>
  <si>
    <t>ACQUISTO ELETTRODI ECG BLUE SENSOR - PI343404-23</t>
  </si>
  <si>
    <t>BIOSIGMA S.P.A.</t>
  </si>
  <si>
    <t>RDO Intercent-ER PI304139-23 - Acquisto Monitor-TV 58 pollici per Direzione Medica OM-OB come da capitolato</t>
  </si>
  <si>
    <t>DBO - MONTETAURO COOPERATIVA SOCIALE - INSERIMENTOUTENTI DISABILI C/O CASA FAMIGLIA MULTIUTENZA S.MARIA MADDALENA_ 2023 - 2025</t>
  </si>
  <si>
    <t>MONTETAURO - COOPERATIVA SOCIALE A RESPONSABILITA'</t>
  </si>
  <si>
    <t>ASSISTENZA TECNICA POLIGRAFO BON3015707</t>
  </si>
  <si>
    <t>MANTA S.R.L.</t>
  </si>
  <si>
    <t>DBO - Concorso di idee e-Care 2023 per lo svolgimento di attivitÃ  di sostegno alla fragilitÃ , promozione dellâ€™invecchiamento attivo e prevenzione della non autosufficienza - AUSER "Argento vivo tra Pianura e Montagna 2"- ANNO 2023</t>
  </si>
  <si>
    <t>Associazione AUSER Volontariato</t>
  </si>
  <si>
    <t>SERVIZIO FINALIZZATO ALLA GESTIONE DEL SITO INTERNET PARLIAMONEINSIME.ORG</t>
  </si>
  <si>
    <t>ASSOCIAZIONE ARTE E SALUTE ONLUS</t>
  </si>
  <si>
    <t>SERVIZIO MANUTENZIONE ARREDI E ATTREZZATURE OSP MAGGIORE</t>
  </si>
  <si>
    <t>ACQ.URGENTE ESSENTIAL MS ELECTRODE TURBO KIT PER LUM OM</t>
  </si>
  <si>
    <t>AB SCIEX srl</t>
  </si>
  <si>
    <t>ACQ. URGENTE SONDE PER TRATTAMENTO DEL GLAUCOMA-IN ATTESA GARA SAAV</t>
  </si>
  <si>
    <t>Nikon Europe B.V.</t>
  </si>
  <si>
    <t>monitor sostitutivo</t>
  </si>
  <si>
    <t>ARTEXE SPA</t>
  </si>
  <si>
    <t>Acquisto materiale accessorio per laboratorio</t>
  </si>
  <si>
    <t>INCOFAR SRL</t>
  </si>
  <si>
    <t>Ciclo di Seminari sui comportamenti problema nell'autismo Corsi</t>
  </si>
  <si>
    <t>FONDAZIONE ISTITUTO OSPEDALIERO DI SOSPIRO ONLUS</t>
  </si>
  <si>
    <t>ACQUISTO IRRIGATORE</t>
  </si>
  <si>
    <t>BM MEDICAL SNC</t>
  </si>
  <si>
    <t>ASSISTENZA TECNICA 2023 DITTA C.E.L.M.</t>
  </si>
  <si>
    <t>C.E.L.M. DI ROBERTO CAMPARI &amp; C. - S.A.S.</t>
  </si>
  <si>
    <t>ACQUISTO DISPOSITIVI MEDICI ENDOSCOPIA DIGESTIVA</t>
  </si>
  <si>
    <t>M.G. Lorenzatto S.r.l.</t>
  </si>
  <si>
    <t>RDO Intercent-ER PI303518-23 - Intervento su sistema Mosaiq per test e messa in produzione del nuovo end point Log80 come da capitolato</t>
  </si>
  <si>
    <t>Acquisizione urgente di sistemi HW/SW per CAU CDS Navile â€“  RDO Intercent-ER PI347449-23 Fornitura di un sistema per gestire gli accessi dei cittadini presso il nuovo CAU del Navile come da capitolato</t>
  </si>
  <si>
    <t>RDO Intercent-ER PI311373-23 - Acquisizione materiale programmazione 2023 IRCCS ISNB come da capitolato</t>
  </si>
  <si>
    <t>DET.2625/23 CONTRATTO PONTE MATERIALE DA MEDICAZIONE CLASSICA  2b</t>
  </si>
  <si>
    <t>MONDOMED ITALIA SRL</t>
  </si>
  <si>
    <t>BOLOGNA CADAVER LAB DEL 20/21 NOVEMBRE 2023</t>
  </si>
  <si>
    <t>MZ CONGRESSI SRL</t>
  </si>
  <si>
    <t>ACQUISTO MATERIALE CONSUMO BRONCOSCOPI A FIBRE ED ENDOSCOPI A FIBRE</t>
  </si>
  <si>
    <t>Servizio Lavaggio e Igienizzazione Mezzi di Soccorso</t>
  </si>
  <si>
    <t>CARBEL SAS</t>
  </si>
  <si>
    <t>RDO Intercent-ER PI297822-23 - Acquisto materiale HW e SW per PO 837 (PROG. ADOLESCENTI PROBLEMATICHE PSICOPAT.) come da capitolato</t>
  </si>
  <si>
    <t>ACQUISTO EMODERIVATI</t>
  </si>
  <si>
    <t>BIOVIIIX SRL</t>
  </si>
  <si>
    <t>Acquisto Ferule e Fili per Bloccaggio Intermascellare</t>
  </si>
  <si>
    <t>SEMINARIO MULTIDISCIPLINARE DELLA NARCOLESSIA DEL 16/12/23</t>
  </si>
  <si>
    <t>DOC CONGRESSI SRL</t>
  </si>
  <si>
    <t>DPO - SOLCO LIBERTAS CASA SAN MARTINO 20 ottobre-31dicembre 2023</t>
  </si>
  <si>
    <t>Acquisto di 1 Sonda ecografica AC2541 per il Pronto Soccorso dell'Ospedale Maggiore - AUSL di Bologna</t>
  </si>
  <si>
    <t>det 3090/23 adesione medicinali 24-25 lotto 1 LUNDBECK ITALIA S.P.A.</t>
  </si>
  <si>
    <t>M.I.T. ITALIA S.r.l.</t>
  </si>
  <si>
    <t>SERVIZI DI CATERING PER EVENTI DI COMUNICAZIONE AZIENDALE</t>
  </si>
  <si>
    <t>CIRCOLO AZIENDALE RAVONE</t>
  </si>
  <si>
    <t>DET. 2380/2023 ESITO SDA FORNITURA FARMCI ESTERI 2023/25 - LOTTO 24</t>
  </si>
  <si>
    <t>ACQUISTO SPAZZOLE DOPPIEE MONOUSO PER LA PULIZIA DEGLI ENDOSCOPI+ 20%</t>
  </si>
  <si>
    <t>QUATTRO MEDICA S.r.l.</t>
  </si>
  <si>
    <t>Servizio Assistenza Tecnica sistemi di controllo accessi  Canone annuale</t>
  </si>
  <si>
    <t>G. OSTI SISTEMI SRL</t>
  </si>
  <si>
    <t>Acquisto Gel Elettroconduttore</t>
  </si>
  <si>
    <t>Acquisto di n.2 Monitor per Bioimmagini per il Blocco Operatorio dell'Ospedale Maggiore - AUSL di Bologna</t>
  </si>
  <si>
    <t>Acquisto di n.1 Pacchetto licenze terminal server Galileo per la Neuropsichiatria dell'etÃ  pediatrica Day Hospital sede AOSP</t>
  </si>
  <si>
    <t>EB Neuro</t>
  </si>
  <si>
    <t>Noleggio Aula Vaccari</t>
  </si>
  <si>
    <t>Croce Rossa Italiana Comitato di Bologna</t>
  </si>
  <si>
    <t>ONORANZE FUNEBRI BORGO DI LELLI ROMANO</t>
  </si>
  <si>
    <t>RG. 541/2021TAR Bologna - saldo compensi Avv. Maria Rosaria Russo Valentini</t>
  </si>
  <si>
    <t>LORENZON S.R.L.</t>
  </si>
  <si>
    <t>SMITHS MEDICAL ITALIA S.r.l.</t>
  </si>
  <si>
    <t>ASSISTENZA TECNICA 2023 DITTA Mindray Medical Italy</t>
  </si>
  <si>
    <t>MINDRAY MEDICAL ITALY S.R.L.</t>
  </si>
  <si>
    <t>GEISTLICH BIOMATERIALS ITALIA SRL</t>
  </si>
  <si>
    <t>BS Medical S.r.l.</t>
  </si>
  <si>
    <t>AUSLBO - BENESSERE AMBIENTALE NELLE STRUTTURE SANITARIE DELL AZIENDA USL DI BOLOGNA</t>
  </si>
  <si>
    <t>ASSOCIAZIONE CERPA ITALIA ONLUS</t>
  </si>
  <si>
    <t>PI344160-23  - ACQUISTO DIAGNOSTICI PER RICERCA</t>
  </si>
  <si>
    <t>Team working. Idee e strumenti per lo sviluppo delle risorse umane ed il benessere organizzativo</t>
  </si>
  <si>
    <t>KILOWATT SOC.COOP.</t>
  </si>
  <si>
    <t>Acquisto Sonde Vaginali</t>
  </si>
  <si>
    <t>DET. 3063 del 20/12/2023 - Pubblicazione delle informazioni obbligatorie sui quotidiani - dicembre 2023 â€“ Concessionaria Class</t>
  </si>
  <si>
    <t>Concessionaria Class pubblicitÃ  spa</t>
  </si>
  <si>
    <t>MATERIALE DI CONSUMO PER APPARECCHIATURE A MARCHIO KARL STORZ AUMENTO 20% EMISSIONE ORDINI 2024 -SMART CIG</t>
  </si>
  <si>
    <t>RDO Intercent-ER PI347737-23 - Acquisto nÂ°7 (sette) computer portatili come da capitolato</t>
  </si>
  <si>
    <t>Acquisto di n.3 lampade con lente per CAU - AUSL di Bologna</t>
  </si>
  <si>
    <t>ACQUISTO DISPOSITIVI MEDICI IN ESCLUSIVA</t>
  </si>
  <si>
    <t>VE.DI.SE. HOSPITAL S.p.A.</t>
  </si>
  <si>
    <t>SPEGHINI SERVIZI FARMACIA</t>
  </si>
  <si>
    <t>FARMACIA SPEGHINI DEL DR. DANIEL GARGAN</t>
  </si>
  <si>
    <t>Acquisto di n.2 Coagulometri per la Casa della Salute Borgo Reno - AUSL di Bologna</t>
  </si>
  <si>
    <t>SIEMENS HEALTHCARE S.R.L.</t>
  </si>
  <si>
    <t>carrelli servizio misure speciali</t>
  </si>
  <si>
    <t>KARREL HEALTH SOLUTIONS SRL</t>
  </si>
  <si>
    <t>FARMAC-ZABBAN S.P.A.cess.fino al 31/08/2008 (mod.1)</t>
  </si>
  <si>
    <t>ACQUISTO COPERTE RISCALDAMENTO  C/EC 1001300101</t>
  </si>
  <si>
    <t>Acquisto fornitura di campionatore per polveri e granulati</t>
  </si>
  <si>
    <t>DENIOS SRL A SOCIO UNICO</t>
  </si>
  <si>
    <t>ACQUISTO URGENTE ANOSCOPI, RETTOSCOPI ED ALTRI DISPOSITIVI</t>
  </si>
  <si>
    <t>ASSISTENZA TECNICA 2023 DITTA PROSENECTUTE</t>
  </si>
  <si>
    <t>PRO SENECTUTE SRL</t>
  </si>
  <si>
    <t>ACQUISTO DI SATURIMETRI PER LE ESIGENZE DELLA AUSL DI BOLOGNA</t>
  </si>
  <si>
    <t>CARTOIDEE DI CULTRARO VASTA GIUSEPPE SALVATORE</t>
  </si>
  <si>
    <t>ASSISTENZA TECNICA 2023 DITTA JASCO</t>
  </si>
  <si>
    <t>JASCO EUROPE SRL</t>
  </si>
  <si>
    <t>SOCIETA ITALIANA ARTICOLI LABORATORIO - S.I.A.L. -</t>
  </si>
  <si>
    <t>Acquisto di n.5 oftalmoscopi diretti per CAU - AUSL di Bologna</t>
  </si>
  <si>
    <t>LP ITALIANA SPA</t>
  </si>
  <si>
    <t>fornitura tavoli servitori</t>
  </si>
  <si>
    <t>Acquisto Sacchetti Raccolta Vomito</t>
  </si>
  <si>
    <t>noleggio sala</t>
  </si>
  <si>
    <t>COMUNE DI CASALECCHIO DI RENO</t>
  </si>
  <si>
    <t>SERVIZIO DI CONSULENZA ADR</t>
  </si>
  <si>
    <t>DALL'OLIO DINO</t>
  </si>
  <si>
    <t>Fornitura casellari</t>
  </si>
  <si>
    <t>SERVIZIO DI SUPPORTO ALLA VALUTAZIONE DEL RISCHIO DI ESPOSIZIONE AL RUMORE</t>
  </si>
  <si>
    <t>GALILEO INGEGNERIA S.R.L.</t>
  </si>
  <si>
    <t>Acquisto pellicole Gafchromic EBT3</t>
  </si>
  <si>
    <t>TECNOLOGIE AVANZATE TA S.R.L.</t>
  </si>
  <si>
    <t>ASSISTENZA TECNICA 2023 DITTA CITIEFFE</t>
  </si>
  <si>
    <t>Citieffe S.r.l.</t>
  </si>
  <si>
    <t>ACQUISTO ELETTRODI ECG WHITE SENSOR - PI348421-23 + 20% x ordini urgenti per gara saav in attesa da 1 anno - e procedura di gara non perfezionate da sater</t>
  </si>
  <si>
    <t>ACQUISTIO DISPOSITIVI MEDICI</t>
  </si>
  <si>
    <t>Acquisto cabina audiometrica Molinella</t>
  </si>
  <si>
    <t>LEDISO ITALIA</t>
  </si>
  <si>
    <t>INVENTIS SRL</t>
  </si>
  <si>
    <t>DET. 2380/2023 ESITO SDA FORNITURA FARMCI ESTERI 2023/25 - LOTTO 22</t>
  </si>
  <si>
    <t>Noleggio ecocardiografo Affiniti 30 per le esigenze della Ausl</t>
  </si>
  <si>
    <t>DET.2983 del 13/12/2023 - Pubblicazione delle informazioni obbligatorie sui quitidiani - dicembre 2023 â€“ Concessionaria Cairorcs</t>
  </si>
  <si>
    <t>Cairocs media</t>
  </si>
  <si>
    <t>ACQUISTO STRUMENTI MONOUSO PER MINI INVASIVA PIEDE</t>
  </si>
  <si>
    <t>SERVIZIO DI STUDIO E PERCORSO DI VALIDAZIONE FDA E GESTIONE E-CRF</t>
  </si>
  <si>
    <t>COMPUTER ANGELS SRL</t>
  </si>
  <si>
    <t>DBO - ASSOCIAZIONE ADAMANTINA ONLUS - INSERIMENTOUTENTI DISABILI C/O CASA FAMIGLIA MULTIUTENZAADAMANTINA_ 2023 - 2025</t>
  </si>
  <si>
    <t>ASSOCIAZIONE ADAMANTINA</t>
  </si>
  <si>
    <t>DIAPATH S.p.A.</t>
  </si>
  <si>
    <t>UNIONE RENO GALLIERA</t>
  </si>
  <si>
    <t>FORNITURA CARRELLI MEDICAZIONE</t>
  </si>
  <si>
    <t>SUPERVISIONE DI EQUIPE DI LAVORO 2023</t>
  </si>
  <si>
    <t>UniversitÃ  Della Strada Gruppo Abele Impresa Soc. Srl</t>
  </si>
  <si>
    <t>det 3090/23 convenzione medicinali 24-25 lotto 107 ACCORD  HEALTHCARE ITALIA SRL</t>
  </si>
  <si>
    <t>ACCORD HEALTHCARE ITALIA</t>
  </si>
  <si>
    <t>DPE - FONDAZIONE LA LOCOMOTIVA COMUNITA' AGAR 2023</t>
  </si>
  <si>
    <t>FONDAZIONE LA LOCOMOTIVA ONLUS</t>
  </si>
  <si>
    <t>RELAIS BELLARIA HOTEL E CONGRESSI DUSARE CODICE 90004520</t>
  </si>
  <si>
    <t>PIRAMAL CRITICAL CARE ITALIA S.p.A.</t>
  </si>
  <si>
    <t>Acquisto materiale HW per PO 840 (CARTELLA CURE DIPENDENZE) - RDO Intercent-ER PI269695-23</t>
  </si>
  <si>
    <t>C2 SRL</t>
  </si>
  <si>
    <t>ROMAGNA COMPUTER SAS DI MATTEO ALBO</t>
  </si>
  <si>
    <t>DET 3090/23 ADESIONE INTERCENTER MEDICINALI 24-25 LOTTO 36 TEOFARMA S.R.L.</t>
  </si>
  <si>
    <t>Teofarma s.r.l.</t>
  </si>
  <si>
    <t>Acquisto di un microscopio motorizzato OCUS 40 per l'Anatomia Patologica dell'Ospedale Maggiore</t>
  </si>
  <si>
    <t>EVIDENT EUROPE GMBH</t>
  </si>
  <si>
    <t>Acquisto lacci in silicone per strumentario chirurgico</t>
  </si>
  <si>
    <t>fornitura armadietti spogliatoio sovrapposti</t>
  </si>
  <si>
    <t>ASSISTENZA TECNICA 2023 DITTA VEDI VISION</t>
  </si>
  <si>
    <t xml:space="preserve">VEDI VISION srl </t>
  </si>
  <si>
    <t>CORSO DI AGGIORNAMENTO "SHE" PER IL 18/11/23 E DEL 11/12/23</t>
  </si>
  <si>
    <t>MCC di Maria Cristina Calzolari srl</t>
  </si>
  <si>
    <t>ACQUISTO SOTTOSOGLIA FARMACI</t>
  </si>
  <si>
    <t>HUMANA ITALIA S.p.A.</t>
  </si>
  <si>
    <t>Accordo tra lâ€™AUSL di Bologna e lâ€™Associazione Andromeda, Coordinamento Emilia Romagna â€“ Sezione di Bologna ODV per le attivitÃ  di trasporto infermi non in emergenza â€“ Periodo 06/11/2023 â€“ 31/12/2028</t>
  </si>
  <si>
    <t>ASSOC.  DI VOLONTARIATO ANDROMEDA ONLUS</t>
  </si>
  <si>
    <t>PROROGA TECNICA FORNITURA IN SERVICE SISTEMI MOTORIZZATI PER MAXILLO FACCIALE AUSLBO</t>
  </si>
  <si>
    <t>DET. 3088 del 21/12/2023 - Pubblicazione delle informazioni obbligatorie - dicembre 2023 - sulla Gazzetta Repubblica Italiana</t>
  </si>
  <si>
    <t>Acquisto di n.1 Microscopio da laboratorio per ISNB - Ospedale Bellaria di Bologna</t>
  </si>
  <si>
    <t>Acquisto ecografi palmari per ambulanze della Ausl di Bologna</t>
  </si>
  <si>
    <t>M.C.S. MEDICAL CARE SYSTEMS SRL</t>
  </si>
  <si>
    <t>RG 4098/2021 Tribunale di Torre Annunziata (Na) - Avv. Ignazio Sposito</t>
  </si>
  <si>
    <t>SPOSITO IGNAZIO</t>
  </si>
  <si>
    <t>Acquisizione URGENTE nÂ°1 licenza SW Microsoft Project Std 2021 per U.O. Tecnologie Informatiche e di Comunicazione</t>
  </si>
  <si>
    <t>ACQUISTO ASTE PORTAFLEBO</t>
  </si>
  <si>
    <t>DBO - CONSORZIO KEDOS - INSERIMENTO UTENTIDISABILI C/O APPARTAMENTI PROTETTI PARCO DELNAVILE_ 2023 - 2025</t>
  </si>
  <si>
    <t>DBO - Concorso di idee e-Care 2023 per lo svolgimento di attivitÃ  di sostegno alla fragilitÃ , promozione dellâ€™invecchiamento attivo e prevenzione della non autosufficienza - Strada Sociale "Bologna Digitale 2023" - ANNO 2023</t>
  </si>
  <si>
    <t>ASSOCIAZIONE STRADA SOCIALE APS</t>
  </si>
  <si>
    <t>Acquisto materiale odontoiatrico Catalogo Kerr-Hawe</t>
  </si>
  <si>
    <t>RDO Intercent-ER PI303769-23 - Acquisto minuteria informatica varia come da capitolato</t>
  </si>
  <si>
    <t>DATA*SPEED S.R.L.</t>
  </si>
  <si>
    <t>IFICONSULTING</t>
  </si>
  <si>
    <t>IMPIANTI S.P.A.</t>
  </si>
  <si>
    <t>PUCCIUFFICIO SRL</t>
  </si>
  <si>
    <t>R.C.M. ITALIA S.R.L.</t>
  </si>
  <si>
    <t>CORSO AHA â€“ ACLS Advanced Cardiovascular Life Support</t>
  </si>
  <si>
    <t>ASSISTENZA TECNICA 2023 DITTA PHLIPS</t>
  </si>
  <si>
    <t>DETE 2322 2023 Affidamento diretto di un servizio di ospitalitÃ  alberghiera dedicato a personale medico in attivitÃ  presso lâ€™ospedale di Porretta Terme</t>
  </si>
  <si>
    <t>G.G.E. di Nanni Costa Giuliana &amp; C. S.N.C.</t>
  </si>
  <si>
    <t>MANUTENZIONE STRAORDINARIA 118 OSPEDALE MAGGIORE</t>
  </si>
  <si>
    <t>Acquisto Trasduttori e Sensori per Polisonnigrafi</t>
  </si>
  <si>
    <t>ACQ.URGENTE GIOTEDER MATIC "E"</t>
  </si>
  <si>
    <t>DET. 2889-2023 RICHIESTA DI OFFERTA (RDO) PER LA FORNITURA IN ACQUISTO DI PC NOTEBOOK CONVERTIBILI 2 IN 1 TOUCHSCREEN.</t>
  </si>
  <si>
    <t>DET. 3063 del 20/12/2023 - Pubblicazione delle informazioni obbligatorie sui quotidiani - dicembre 2023 â€“ Concessionaria Manzoni</t>
  </si>
  <si>
    <t>DET.1842/23 RINNOVO PER LA FORNITURA DI MASCHERE PER LE UU.OO. DI RADIOTERAPIA. LOTTO 2</t>
  </si>
  <si>
    <t>ACQUISTO ABBONAMENTO AL PORTALE "WWW.DIRITTOACCESSO.IT" - ANNO 2023</t>
  </si>
  <si>
    <t>ASSOCIAZIONE OSSERVATORIO P.A. ETS</t>
  </si>
  <si>
    <t>servizio di manutenzione compressore</t>
  </si>
  <si>
    <t>KOMPRESSOR SERVICE SASDED. 1</t>
  </si>
  <si>
    <t>ASSISTENZA TECNICA 2023 DITTA FIOCCHETTI</t>
  </si>
  <si>
    <t>FIOCCHETTI SCIENTIFIC S.R.L.</t>
  </si>
  <si>
    <t>Gilson Italia Srl</t>
  </si>
  <si>
    <t>DET. 2891 del 05/12/2023 - Pubblicazione delle informazioni obbligatorie - dicembre 2023 - sulla Gazzetta Repubblica Italiana</t>
  </si>
  <si>
    <t>FORNITURA DI GAS METANO E GPL PER AUTOMEZZI AUSL BOLOGNA - ZONA SAN GIOVANNI IN PERSICETO</t>
  </si>
  <si>
    <t>VIVI-ENERGY S.R.L.</t>
  </si>
  <si>
    <t>Acquisto materiale odontoiatrico Catalogo Simit/Maillefer</t>
  </si>
  <si>
    <t>DBO - CEIS COOP. SOCIALE - INSERIMENTO UTENTIDISABILI C/O GAP LE ROSE_2023 - 2025</t>
  </si>
  <si>
    <t>CONSORZIO GRUPPO CEIS COOPERATIVA SOCIALE</t>
  </si>
  <si>
    <t>CONTROLLI ANNUALI STRUMENTAZIONE QUANTERIX IRCCS</t>
  </si>
  <si>
    <t>Acquisto di n.5 otoscopi per CAU - AUSL di Bologna</t>
  </si>
  <si>
    <t>DET. 2891 del 05/12/2023 - Pubblicazione delle informazioni obbligatorie sui quitidiani - dicembre 2023 - Concessionaria Il Sole 24 ore</t>
  </si>
  <si>
    <t>WORKSHOP EPILESSIE TUMORALI E RARE AND COMPLEX EPILEPSIES DEL 9/10 NOV.2023</t>
  </si>
  <si>
    <t>PTS CONGRESSI SRL</t>
  </si>
  <si>
    <t>Acquisto sistema potenziali evocati ORL Bentivoglio</t>
  </si>
  <si>
    <t>ACQ. URGENTE DETERGENTI NEODISHER PER S.O. AZIENDALI</t>
  </si>
  <si>
    <t>DIS LIBERTAS CASA SAN MARTINO ottobre/dicembre 2023</t>
  </si>
  <si>
    <t>DET. 3046 del 19/12/2023 - Pubblicazione delle informazioni obbligatorie sui quotidiani - dicembre 2023 â€“ Concessionaria Il Sole 24 ore</t>
  </si>
  <si>
    <t>Acquisto copertura sterile per protezione arco C</t>
  </si>
  <si>
    <t>det 3090/23 Adesione Intercenter Medicinali 2024 â€“ 2025 lotti 121 123 124 G.L. PHARMA ITALY S.R.L.</t>
  </si>
  <si>
    <t>G.L. PHARMA ITALY S.R.L.</t>
  </si>
  <si>
    <t>ACQUISTO COPRISONDA PI332450-23</t>
  </si>
  <si>
    <t>Acquisto di n.5 dermatoscopi per CAU - AUSL di Bologna</t>
  </si>
  <si>
    <t>A.C.R.A.F. S.p.A.</t>
  </si>
  <si>
    <t>Rinnovo di nÂ°2 (due) Licenze software Adobe Creative Cloud for teams - All Apps (65270766BA01A12) periodo 15/10/2023 - 14/10/2024 come da capitolato - RDO Intercent-ER PI296608-23</t>
  </si>
  <si>
    <t>AD CONSULTING S.P.A.</t>
  </si>
  <si>
    <t>Chirurgia ortopedica e chirurgia vertebrale: focus su nuove metodiche e applicazioni funzionali</t>
  </si>
  <si>
    <t>VICTORY PROJECT CONGRESSI srl</t>
  </si>
  <si>
    <t>DBO - COOPERATIVA SOCIALE IL BAOBAB - INSERIMENTOUTENTI DISABILI C/O CSO BAOBAB_ 2023 - 2025</t>
  </si>
  <si>
    <t>Il Baobab soc. cooperativa sociale</t>
  </si>
  <si>
    <t>Servizio di assistenza e manutenzione per CRS-Net, sistema informativo di gestione del CRS Emilia-Romagna come da capitolato</t>
  </si>
  <si>
    <t>SGG SOFT</t>
  </si>
  <si>
    <t>Acquisto di n.2 Fibrorinolaringoscopi flessibili per gli Ambulatori ORL dell'AUSL di Bologna + 2 in opzione</t>
  </si>
  <si>
    <t>New technologies Supplies srl</t>
  </si>
  <si>
    <t>SIDAM SRL</t>
  </si>
  <si>
    <t>EUROFARM S.P.A.</t>
  </si>
  <si>
    <t>FORNITURA ARMADI AMBULATORIALI</t>
  </si>
  <si>
    <t>Acquisto di n.5 Lettini da visita per i CAU dell'AUSL di Bologna</t>
  </si>
  <si>
    <t>ASSISTENZA TECNICA 2023 DITTA LIFE TECHNOLOGIES ITALIA</t>
  </si>
  <si>
    <t>Rinnovo nÂ°1 (una) licenza Prism 10.x per Win/Mac - Licenza annuale Group â€“ Rinnovi successivi al primo â€“ Sottoscrizione per 2 utenti SN GPS-2537267-LJUL-3F601</t>
  </si>
  <si>
    <t>ACQUISTO COPRISONDA E DISPOSITIVI MEDICI VARI + 20% INCREMENTO</t>
  </si>
  <si>
    <t>ACQUISTO MANIPOLI PER SCIALITICA</t>
  </si>
  <si>
    <t>Trumpf Med Italia</t>
  </si>
  <si>
    <t>NOLEGGIO AULA VACCARI</t>
  </si>
  <si>
    <t>Acq. Frantuma pillole ed altri dispositivi</t>
  </si>
  <si>
    <t>det 3090/23 convenzione medicinali 24-25 lotti 126 127 ALLOGA (ITALIA) S.R.L.</t>
  </si>
  <si>
    <t>RDO Intercent-ER PI296321-23 - Acquisto materiale HW per PO 327 (PROGETTO SCREENING ONCOLOGICI REGIONALI 2021) come da capitolato</t>
  </si>
  <si>
    <t>BCS Biomedical Computering Systems srl</t>
  </si>
  <si>
    <t>ACQUISTO RASOI ELETTRICI PER TRICOTOMIA E CONSUMABILI- C/EC 1001300101</t>
  </si>
  <si>
    <t>RIPARAZIONE TAVOLO OPERATORIO MEDIFA S.O. OSPEDALE MAGGIORE</t>
  </si>
  <si>
    <t>FIDIA FARMACEUTICI s.p.a.</t>
  </si>
  <si>
    <t>Acquisto materiale Catalogo Frese Komet orginale</t>
  </si>
  <si>
    <t>GERHÃ’ S.p.A.</t>
  </si>
  <si>
    <t>ACQUISTO URGENTE DI TEST PSICODIAGNOSTICI HOGREFE EDITORE</t>
  </si>
  <si>
    <t>ASSISTENZA TECNICA 2023 DITTA COMECER</t>
  </si>
  <si>
    <t>COMECER S.P.A.</t>
  </si>
  <si>
    <t>ACQ. LAME MONOUSO SAFEVIEW X LARINGOSCOPIO - mat. di consumo dedicato</t>
  </si>
  <si>
    <t>ACQUISTO CASSETTE ALVEOLARI E VARIE</t>
  </si>
  <si>
    <t>MOP srl</t>
  </si>
  <si>
    <t>ACQUISTO MATERIALE DI CONSUMO PER MONITORAGGIO NON INVASIVO</t>
  </si>
  <si>
    <t>MASIMO EUROPE LTD</t>
  </si>
  <si>
    <t>ACQ. DISPOSITIVI DI IMMOBILIZZAZIONE PER USO OSPEDALIERO</t>
  </si>
  <si>
    <t>DASER SRL SOCIETAâ€™ UNIPERSONALE</t>
  </si>
  <si>
    <t>DET. 3088 del 21/12/2023 - Pubblicazione delle informazioni obbligatorie sui quotidiani - dicembre 2023 â€“ Concessionaria Class</t>
  </si>
  <si>
    <t>Proroga contratto per la fruizione servizio finalizzato alla realizzazione di attivitÃ  abilitative di gruppo per incrementare le competenze sociali e migliorare la qualitÃ  della vita delle persone affette da disturbo dello spettro autistico(ASD)</t>
  </si>
  <si>
    <t>MEDINEXT S.R.L.</t>
  </si>
  <si>
    <t>RETESVILUPPO SOCIETA COOPERATIVA</t>
  </si>
  <si>
    <t>Acquisto Spazzolini chirurgici</t>
  </si>
  <si>
    <t>Acquisto di sistema video compatto per le esigenze degli ambulatori ORL di Bentivoglio</t>
  </si>
  <si>
    <t>ACQUISTO PORTESI</t>
  </si>
  <si>
    <t>ASSISTENZA TECNICA 2023 DITTA NIHON KOHDEN</t>
  </si>
  <si>
    <t>Assistenza FR Centrali di Sterilizzazione per il II semestre 2023 - contratto UOIC23/18</t>
  </si>
  <si>
    <t>ACQUISTO IMBRAGATURE PER SOLLEVAMALATI</t>
  </si>
  <si>
    <t>a circle spa</t>
  </si>
  <si>
    <t>NOVATECH SRL NEW TECHNOLOGY FOR LIFE</t>
  </si>
  <si>
    <t>Acquisto di n.1 localizzatore di forame apicale per ambulatori di Borgo</t>
  </si>
  <si>
    <t>VALLE S.R.L.</t>
  </si>
  <si>
    <t>Acquisizione URGENTE nÂ°8 (otto) dischi esterni USB 2TB Toshiba Canvio</t>
  </si>
  <si>
    <t>mehos srl</t>
  </si>
  <si>
    <t>ACQ. MAT CONSUMO DEFIBRILLATORI SEDA DI PROPRIETA -</t>
  </si>
  <si>
    <t>ACQUISTO THERMOS PER LIQUIDI IN CAMPO CHIRURGICO</t>
  </si>
  <si>
    <t>Alker medicale S.r.l.</t>
  </si>
  <si>
    <t>QUARANTA037 SRL</t>
  </si>
  <si>
    <t>Acquisto Aghi Smussi per Esami EEG</t>
  </si>
  <si>
    <t>Acquisto ecografo Esaote da convenzione Intercent-ER per attivitÃ  ambulatoriale Bentivoglio</t>
  </si>
  <si>
    <t>Acquisto di n.2 poltrone elettrificate per ambulatori OM</t>
  </si>
  <si>
    <t>AGUETTANT ITALIA SRL</t>
  </si>
  <si>
    <t>ACQUISTO CIRCUITI PER ANESTESIA E RIANIMAZIONE E DISPOSITIVI VARI PER ASSISTENZA RESPIRATORIA</t>
  </si>
  <si>
    <t>Flexicare Srl</t>
  </si>
  <si>
    <t>Adesione convenzione Intercent-ER Ecotomografi 2 - Lotto 7: Ecotomografi per ostetricia e ginecologia di fascia medio-alta</t>
  </si>
  <si>
    <t>TEBU-BIO</t>
  </si>
  <si>
    <t>Acquisto Contenitori Terziari</t>
  </si>
  <si>
    <t>ACQUISTO GALENICI E MATERIE PRIME</t>
  </si>
  <si>
    <t>FAGRON ITALIA SRL</t>
  </si>
  <si>
    <t>det.2367/23 contratto ponte soluzioni infusionali 2023/24</t>
  </si>
  <si>
    <t>Acquisizione servizio di noleggio dispositivo Exuvia Suit per prestazioni legate a Progetto di ricerca IRCCS</t>
  </si>
  <si>
    <t>22-PROCEDURA NEGOZIATA CON PREVIA INDIZIONE DI GARA (SETTORI SPECIALI)</t>
  </si>
  <si>
    <t>SPARK SRL</t>
  </si>
  <si>
    <t>COOPERATIVA AGRIVERDE LABORATORIO SAN CAMILLO</t>
  </si>
  <si>
    <t>AGRIVERDE SOC. COOP. SOCIALE A R.L.</t>
  </si>
  <si>
    <t>Acquisto 4 occhiali di Frenzel</t>
  </si>
  <si>
    <t>DYASET S.r.l.</t>
  </si>
  <si>
    <t>rinnovo del canone annuale relativo alla piattaforma Qlik Sensen necessario per lâ€™utilizzo del nuovo Cruscotto Direzionale</t>
  </si>
  <si>
    <t>ACQUISTO DI TEST PSICODIAGNOSTICI GIUNTI PSYCHOMETRICS EDITORE</t>
  </si>
  <si>
    <t>GIUNTI OS ORGANIZZAZIONI SPECIALI</t>
  </si>
  <si>
    <t>Acquisto speculum auricolari monouso</t>
  </si>
  <si>
    <t>ACQUISTO MATERIALE VARIO PER CORSI BLSD PER PO736</t>
  </si>
  <si>
    <t>BE BRAVE S.R.L.</t>
  </si>
  <si>
    <t>MISURATORI DI ISOLAMENTO E DI CONTINUITA'</t>
  </si>
  <si>
    <t>ASITA S.R.L.</t>
  </si>
  <si>
    <t>ANTEMED SRL</t>
  </si>
  <si>
    <t>DET. 2380/2023 ESITO SDA FORNITURA FARMCI ESTERI 2023/25 - LOTTO 27</t>
  </si>
  <si>
    <t>FARMAZZURRA SRL</t>
  </si>
  <si>
    <t>Acquisto di n.1 monitor per sale operatorie di Bentivoglio</t>
  </si>
  <si>
    <t>Acquisto scovolini e copristrumenti</t>
  </si>
  <si>
    <t>Acquisto cuffie copristrumenti sterili</t>
  </si>
  <si>
    <t>DIS SOLCO LIBERTAS CASA SAN MARTINO 20 ottobre - 31 dicembre 2023</t>
  </si>
  <si>
    <t>DET. 2380/2023 ESITO SDA FORNITURA FARMCI ESTERI 2023/25 - LOTTO 11</t>
  </si>
  <si>
    <t>DET. 2380/2023 ESITO SDA FORNITURA FARMCI ESTERI 2023/25 - LOTTO 12</t>
  </si>
  <si>
    <t>DET. 2380/2023 ESITO SDA FORNITURA FARMCI ESTERI 2023/25 - LOTTO 28</t>
  </si>
  <si>
    <t>DET. 3046 del 19/12/2023 - Pubblicazione delle informazioni obbligatorie sui quotidiani - dicembre 2023 â€“ Concessionaria Manzoni</t>
  </si>
  <si>
    <t>DET. 3088 del 21/12/2023 - Pubblicazione delle informazioni obbligatorie sui quotidiani - dicembre 2023 â€“ Concessionaria Cairorcs</t>
  </si>
  <si>
    <t>DBO - COOPERATIVA DI SOLIDARIETÃ€ SOCIALE PAOLO BABINI-INSERIMENTO UTENTI DISABILI C/O GRUPPO APPARTAMENTO"DIVENTARE GRANDI â€“ VILLAGGIO MAFALDAâ€_2023 - 2025</t>
  </si>
  <si>
    <t>COOPERATIVA DI SOLIDARIETA SOCIALE  PAOLO  BABINI</t>
  </si>
  <si>
    <t>DBO - Concorso di idee e-Care 2023 per lo svolgimento di attivitÃ  di sostegno allafragilitÃ , promozione dellâ€™invecchiamento attivo e prevenzione della nonautosufficienza - A.R.A.D.  - ANNO 2023</t>
  </si>
  <si>
    <t>ARAD APS ETS</t>
  </si>
  <si>
    <t>DET.2983 del 13/12/2023 - Pubblicazione delle informazioni obbligatorie sui quitidiani - dicembre 2023 â€“ Concessionaria Speed</t>
  </si>
  <si>
    <t>NUCLEAR LASER MEDICINE SRL</t>
  </si>
  <si>
    <t>Vip Medical srl</t>
  </si>
  <si>
    <t>DBO - ASSOCIAZIONE COMUNITAâ€™ PAPA GIOVANNI XXIII - INSERIMENTOUTENTI DISABILI C/O LE STRUTTURE RESIDENZIALI "CASA FAMIGLIAVIA DELLA QUERCIA 4", "CASA FAMIGLIA SANTA CLELIA" E "CASAFAMIGLIA SAN NICOLA"_ 2023 - 2025</t>
  </si>
  <si>
    <t>COMUNITA' PAPA GIOVANNI XXIII ASSOCIAZIONE</t>
  </si>
  <si>
    <t>Acquisto materiale URGENTE informatico per esigenze della AUSL â€“ RDO Intercent-ER PI366929-23</t>
  </si>
  <si>
    <t>Fornitura di n.3 defibrillatori per un importo a base dâ€™asta di â‚¬14.000 ofe con riserva di acquistare a somministrazione nellâ€™arco di 24 mesi dallâ€™aggiudicazione altri defibrillatori e/o accessori fino ad un importo massimo di â‚¬25.000,00 ofe.</t>
  </si>
  <si>
    <t>acquisto dispositivi medici</t>
  </si>
  <si>
    <t>PELLATI</t>
  </si>
  <si>
    <t>VWR International Srl</t>
  </si>
  <si>
    <t>ACQUISTO DISPOSITIVI PER SCONGELATORE SACCHE PLASMA</t>
  </si>
  <si>
    <t>P.I.E.CO SRL</t>
  </si>
  <si>
    <t>ACQUISTO STRUMENTI MONOUSO PER MINI INVASIVA PIEDE C/EC 1001300201</t>
  </si>
  <si>
    <t>DET. 2380/2023 ESITO SDA FORNITURA FARMCI ESTERI 2023/25 - LOTTO 25</t>
  </si>
  <si>
    <t>ZIMMER DENTAL ITALY SRL  subentra dal 01/10/2022 d</t>
  </si>
  <si>
    <t>PI  ACQUISTO DIAGNOSTICI PER RICERCA</t>
  </si>
  <si>
    <t>Olink Proteomics AB</t>
  </si>
  <si>
    <t>det 1649/23 Adesione intercenter medicinali e radiofarmaci 2023-25_2 lotto 159</t>
  </si>
  <si>
    <t>ASSISTENZA TECNICA 2023 DITTA FLEXICARE</t>
  </si>
  <si>
    <t>ACQUISTO MATERIALE DI CONSUMO E ACCESSORI PER UMIDIFICATORE ATTIVO VHB20</t>
  </si>
  <si>
    <t>SERVICE1 S.R.L.</t>
  </si>
  <si>
    <t>ASSISTENZA TECNICA 2023 DITTA EVIDENT EUROPE</t>
  </si>
  <si>
    <t>DBO - Concorso di idee e-Care 2023 per lo svolgimento di attivitÃ  di sostegno alla fragilitÃ , promozione dellâ€™invecchiamento attivo e prevenzione della non autosufficienza - CENTRO SOCIALE RICREATIVO CULTURALE IL MULINO - ANNO 2023</t>
  </si>
  <si>
    <t>CENTRO SOCIALE RICREATIVO CULTURALE IL MULINO</t>
  </si>
  <si>
    <t>IFA DUE S.R.L  IMPRESA FUNEBRE ARGENTA</t>
  </si>
  <si>
    <t>ASSISTENZA TECNICA 2023 DITTA ELSE</t>
  </si>
  <si>
    <t>ELSE Solutions S.r.l.</t>
  </si>
  <si>
    <t>ESSEX ITALIA S.p.A.</t>
  </si>
  <si>
    <t>ASSISTENZA TECNICA 2023 DITTA CISA Production</t>
  </si>
  <si>
    <t>CISA Production S.r.l.</t>
  </si>
  <si>
    <t>AQUISTO CARTA COMPATIBILE PER APPARECCHIATURE ELETTROMEDICALI</t>
  </si>
  <si>
    <t>ASSISTENZA TECNICA 2023 DITTA STED</t>
  </si>
  <si>
    <t>DBO - Concorso di idee e-Care 2023 per lo svolgimento di attivitÃ  di sostegno alla fragilitÃ , promozione dellâ€™invecchiamento attivo e prevenzione della non autosufficienza - Centro Sociale Pertini Zola "Centro anchâ€™io: Nessuno escluso! " - ANNO 2023</t>
  </si>
  <si>
    <t>CENTRO SOCIALE RICREATIVO SANDRO PERTINI APS</t>
  </si>
  <si>
    <t>ACQUISTO SFIGMOMANOMETRI E DISPOSITIVI MEDICI VARI</t>
  </si>
  <si>
    <t>ACQUISTO  LAMPADINE PER ATTREZZATURE SANITARIE</t>
  </si>
  <si>
    <t>RL3 SRL</t>
  </si>
  <si>
    <t>ASSISTENZA TECNICA 2023 DITTA OPTIKON 2000</t>
  </si>
  <si>
    <t>OPTIKON 2000 S.p.A.</t>
  </si>
  <si>
    <t>DBO - SOLIDARIETÃ€ FAMILIARE - INSERIMENTO UTENTIDISABILI C/O â€œCASA DELLA GRAZIAâ€ BORGONUOVO DISASSO MARCONI_ 2023 - 2025</t>
  </si>
  <si>
    <t>SOLIDARIETA'*FAMILIARE - SOCIETA' COOPERATIVA DI S</t>
  </si>
  <si>
    <t>DET. 2891 del 05/12/2023 - Pubblicazione delle informazioni obbligatorie sui quitidiani - dicembre 2023 - Concessionaria Manzoni</t>
  </si>
  <si>
    <t>Acquisto SW per IRCCS - Programma Neuroimmagini Funzionali e Molecolari (SP 090) â€“ Acquisizione SW MAP18 e ottimizzazione su scanner RM - Distributore Esclusivo del SW</t>
  </si>
  <si>
    <t>KLINIK LENGG AG</t>
  </si>
  <si>
    <t>ASSISTENZA TECNICA 2023 DITTA ALTAMED</t>
  </si>
  <si>
    <t>Acquisto di n.1 bilancia pesa neonati per pediatria Maggiore</t>
  </si>
  <si>
    <t>ACQUISTO SUPPORTI + CONTENITORI PER SACCHE URINA</t>
  </si>
  <si>
    <t>Acquisto cuscini antidecubito per s.o.</t>
  </si>
  <si>
    <t>DET.2983 del 13/12/2023 - Pubblicazione delle informazioni obbligatorie sui quitidiani - dicembre 2023 â€“ Concessionaria Piemme</t>
  </si>
  <si>
    <t>Concessionaria Piemme spa</t>
  </si>
  <si>
    <t>ASSISTENZA TECNICA 2023 DITTA HILL ROM</t>
  </si>
  <si>
    <t>RDO Intercent-ER - PI307436-23 Acquisizione di Servizio di Manutenzione Ordinaria del Sistema EBI Sezione Time e Reattiva per i Terminali Presenze e Stampanti in Esercizio negli Ospedali Maggiore, Ospedale Bellaria e Territorio come da capitolato</t>
  </si>
  <si>
    <t>Honeywell S.r.l.</t>
  </si>
  <si>
    <t>AGENZIA INDUSTRIE DIFESA</t>
  </si>
  <si>
    <t>CONTRIBUTO UTILIZZO SPAZI FONDAZIONE BIMBO TU ETS</t>
  </si>
  <si>
    <t>FONDAZIONE BIMBO TU ETS</t>
  </si>
  <si>
    <t>LA VALUTAZIONE DEL COMPORTAMENTO ADATTIVO VINELAND-II E ABAS-II - NO ECM - NO FLUSSATO</t>
  </si>
  <si>
    <t>Laboratorio Apprendimento STP Srl</t>
  </si>
  <si>
    <t>EPPENDORF S.R.L.</t>
  </si>
  <si>
    <t>Acquisto di n 6 saturimetri palmari piÃ¹ n 10 in opzione per AUSL</t>
  </si>
  <si>
    <t>ALEA DI DADONE SILVIO E C. S.A.S.</t>
  </si>
  <si>
    <t>ACQUISTO CONSUMABILI SISTEMI MOTORIZZATI NSK</t>
  </si>
  <si>
    <t>Oftalmedica s.r.l.</t>
  </si>
  <si>
    <t>DET. 3088 del 21/12/2023 - Pubblicazione delle informazioni obbligatorie sui quotidiani - dicembre 2023 â€“ Concessionaria Speed</t>
  </si>
  <si>
    <t>ACQUISTO LAME ED ACCESSORI PER VIDEOLARINGO STORZ</t>
  </si>
  <si>
    <t>Acquisto teli di protezione di pura cellulosa</t>
  </si>
  <si>
    <t>ACQUISTO MATERIALE PER RIABILITAZIONE E ASSIMILABILI</t>
  </si>
  <si>
    <t>ACQUISTO RICAMBI E ACCESSORI PER TAVOLI OPERATORI OPT (Ditta rivenditrice esclusivista per OPT)</t>
  </si>
  <si>
    <t>PULIZIA E AFFISSIONE PANNELLI</t>
  </si>
  <si>
    <t>BAIANO GIOVANNI</t>
  </si>
  <si>
    <t>ACQ. URGENTE DETERGENTI MIELE/STEELCO PER LAVASTRUMENTI S.O. PORRETTA TERME</t>
  </si>
  <si>
    <t>Acquisto telo angiografico monotelo</t>
  </si>
  <si>
    <t>det 3090/23 Adesione Intercenter Medicinali 2024 - 2025 lotto 24 KEDRION S.P.A.</t>
  </si>
  <si>
    <t>ACQUISTO MATERIALE ORIGINALE CATALOGO 3M ESPE - C/EC 1001300101</t>
  </si>
  <si>
    <t>RDO Intercent-ER PI320410-23 - Acquisto lettori codici a barre 1D/2D anno 2023 come da capitolato</t>
  </si>
  <si>
    <t>det 3090/23 Adesione Intercenter Medicinali 2024 - 2025 lotti 74-99 INTERLABO S.R.L.</t>
  </si>
  <si>
    <t>INTERLABO SRL</t>
  </si>
  <si>
    <t>Acquisto di n.1 piezoelettrico per chirurgia Bellaria</t>
  </si>
  <si>
    <t>MECTRON SPA</t>
  </si>
  <si>
    <t>PIKDARE S.P.A.</t>
  </si>
  <si>
    <t>RDO Intercent-ER - PI299636-23 - giornate di assistenza specialistica per attivitÃ  evolutive su applicativo di Screening Demetra come da capitolato</t>
  </si>
  <si>
    <t>Noleggio letto fluidizzato per esigenza Rianimazione Ospedale Bellaria</t>
  </si>
  <si>
    <t>DBO - COPAPS COOPERATIVA SOCIALE - INSERIMENTOUTENTI DISABILI C/O I CSO â€œCAâ€™ DEL BOSCOâ€ E â€œILMONTEâ€_ 2023 - 2025</t>
  </si>
  <si>
    <t>Copaps Soc. Cooperativa sociale</t>
  </si>
  <si>
    <t>ACQUISTO LIBRI DI TESTO E TEST PSICODIAGNOSTICI CASE EDITRICI VARIE</t>
  </si>
  <si>
    <t xml:space="preserve">IMOLA UFFICIO SNC </t>
  </si>
  <si>
    <t>DPO PROGETTO CRA BARBERINI per il miglioramnto capacitÃ  assistenziale e gestionale Cadiai</t>
  </si>
  <si>
    <t>SERVIZI DI CATERING</t>
  </si>
  <si>
    <t>RDO Intercent-ER - PI309865-23 - Richiesta di rinnovo biennale licenza dâ€™uso del Sistema Informativo per lâ€™Ente di Ricerca IRCCS denominato Doc2Res come da capitolato</t>
  </si>
  <si>
    <t>GBIM (ex Consorzio Bioingegneria Medica</t>
  </si>
  <si>
    <t>RDO Intercent-ER PI317868-23 - Rinnovo di nÂ°1 (una) Licenza software Adobe Creative Cloud for teams - All Apps (65270766BA01A12) periodo 17/11/2023 - 16/11/2024 come da capitolato</t>
  </si>
  <si>
    <t>Acquisto pellicola tubolare e materiale di  imballaggio per laboratori</t>
  </si>
  <si>
    <t>RATIOFORM IMBALLAGGI SRL</t>
  </si>
  <si>
    <t>DET. 3046 del 19/12/2023 - Pubblicazione delle informazioni obbligatorie sui quotidiani - dicembre 2023 â€“ Concessionaria Cairorcs</t>
  </si>
  <si>
    <t>rg 479/2021 TAR Bologna - saldo compensi Avv. Maria Rosaria Russo Valentini</t>
  </si>
  <si>
    <t>DBO - Concorso di idee e-Care 2023 per lo svolgimento di attivitÃ  di sostegno alla fragilitÃ , promozione dellâ€™invecchiamento attivo e prevenzione della non autosufficienza - Amici di Tamara e Davide "Noi Siamo Angeli" - ANNO 2023</t>
  </si>
  <si>
    <t>RG. 691/2021 TAR Bologna - saldo compensi Avv. Maria Rosaria Russo Valentini</t>
  </si>
  <si>
    <t>ACQUISTO SCATOLE IMBALLAGGIO E ARCHIVIO</t>
  </si>
  <si>
    <t>Diatech Pharmacogenetics S.r.l a Socio Unico</t>
  </si>
  <si>
    <t>ACQU. ELETTRODI X MIOGRAFIA</t>
  </si>
  <si>
    <t>BIMAR SPADED. 2 - BIMAR ORTHO SPA</t>
  </si>
  <si>
    <t>ACQUISTO DETERGENTE PER INDAGINI NEUROLOGICHE</t>
  </si>
  <si>
    <t>ACQYISTO PROTESI</t>
  </si>
  <si>
    <t>HAMILTON ITALIA SRL</t>
  </si>
  <si>
    <t>Acquisto Copricapi Molnlycke Health Care Srl</t>
  </si>
  <si>
    <t>DET. 2380/2023 ESITO SDA FORNITURA FARMCI ESTERI 2023/25 - LOTTO 30</t>
  </si>
  <si>
    <t>PHENOMENEX SRL</t>
  </si>
  <si>
    <t>DET. 2380/2023 ESITO SDA FORNITURA FARMCI ESTERI 2023/25 - LOTTO 10</t>
  </si>
  <si>
    <t>Acquisto materiale odontoiatrico Catalogo Krugg</t>
  </si>
  <si>
    <t>henry schein krugg s.r.l.</t>
  </si>
  <si>
    <t>RDO Intercent-ER PI323194-23 - Rinnovo di nÂ°5 (cinque) accessi utente per software Varsome Premium come da capitotato</t>
  </si>
  <si>
    <t>DET 3090/23 ADESIONE CONVENZIONE INTERCENTER MEDICINALI 24-25 LOTTO 156 SANTEN ITALY S.R.L.</t>
  </si>
  <si>
    <t>SANTEN ITALY SRL</t>
  </si>
  <si>
    <t>Acquisto Lame Monouso Laringoscopio ed Accessori +20% X EMISSIONE URGENTE ORDINI A COPERTURA NATALIZIA - 01/12/23 - TINELLI</t>
  </si>
  <si>
    <t>MANUTENZIONE STRAORDINARIA  ARREDI TERRITORIO</t>
  </si>
  <si>
    <t>DET. 3046 del 19/12/2023 - Pubblicazione delle informazioni obbligatorie - dicembre 2023 - sulla Gazzetta Repubblica Italiana</t>
  </si>
  <si>
    <t>ACQUISTO CONSUMABILI ASPIRATORI LSU</t>
  </si>
  <si>
    <t>LAERDAL MEDICAL ASSTABILE ORGANIZZAZIONE ITALIA</t>
  </si>
  <si>
    <t>SERVIER ITALIA SPA</t>
  </si>
  <si>
    <t>DBO -SOLCO LIBERTAS SOCIETÃ€ COOPERATIVA SOCIALE - INSERIMENTO UTENTI DISABILI C/O GAP â€œCASE SAN MARTINOâ€_ 2023 - 2025</t>
  </si>
  <si>
    <t>Acquisto di n.2 agitatori da laboratorio per LUM Maggiore</t>
  </si>
  <si>
    <t>LABORCHIMICA di Erica Bucciarelli Andrea Santin e C. S.n.c.</t>
  </si>
  <si>
    <t>DBO - Concorso di idee e-Care 2023 per lo svolgimento di attivitÃ  di sostegno alla fragilitÃ , promozione dellâ€™invecchiamento attivo e prevenzione della non autosufficienza - Associazione Manola ODV - ANNO 2023</t>
  </si>
  <si>
    <t>MANOLA ODV</t>
  </si>
  <si>
    <t>Acquisto Rotoli Sterrad â„¢ in TYVEKÂ®</t>
  </si>
  <si>
    <t>Advanced Sterilization Products Italia S.r.l.</t>
  </si>
  <si>
    <t>Otoscopo diretto per i gli Ambulatori Specialistici di Vado</t>
  </si>
  <si>
    <t>ACQUISTO TRONCHESI PER CLAMP OMBELICALI</t>
  </si>
  <si>
    <t>CLINI-LAB S.R.L.</t>
  </si>
  <si>
    <t>SPECTRA 2000 SRL</t>
  </si>
  <si>
    <t>ACQUISTO DISPOSITIVI DI PROTEZIONE PER FORMALDEIDE</t>
  </si>
  <si>
    <t>WALDNER TECNOLOGIE MEDICALI SRL A SOCIO UNICO</t>
  </si>
  <si>
    <t>det 3090/23 convenzione medicinali 24-25 lotto 33 BIOINDUSTRIA L.I.M. S.P.A.</t>
  </si>
  <si>
    <t>B.S.N. Biological Sales Network s.r.l.</t>
  </si>
  <si>
    <t>DBO - Concorso di idee e-Care 2023 per lo svolgimento di attivitÃ  di sostegno alla fragilitÃ , promozione dellâ€™invecchiamento attivo e prevenzione della non autosufficienza - InNovaPÃ³lis  - ANNO 2023</t>
  </si>
  <si>
    <t>INNOVAPOLIS APS</t>
  </si>
  <si>
    <t>DBO - CASA SANTA CHIARA SOC. COOP. SOCIALE ONLUS -INSERIMENTO UTENTI DISABILI C/O LE STRUTTURE RESIDENZIALIâ€œCOMUNITAâ€™ ALLOGGIO PRUNAROâ€, â€œCASA FAMIGLIA SILVIAâ€_ 2023- 2025</t>
  </si>
  <si>
    <t>ACQUISTO ABBONAMENTO A "CEI GLOBAL - S001" - ANNO 2023/2024</t>
  </si>
  <si>
    <t>ACQUISTO MATERIALE DI CONSUMO PER ENDOSCOPIA DIGESTIVA</t>
  </si>
  <si>
    <t>Acquisto di n.5 Termostati per il Progetto Sangue SIMT AUSL di Bologna</t>
  </si>
  <si>
    <t>AUSLBO-La tutela della salute nella popolazione transgender</t>
  </si>
  <si>
    <t>ASSOCIAZIONE MIT</t>
  </si>
  <si>
    <t>Acquisto di prodotti per anatomia patologica</t>
  </si>
  <si>
    <t>SERVICE MED SRL CON SOCIO UNICO</t>
  </si>
  <si>
    <t>DET. 2380/2023 ESITO SDA FORNITURA FARMCI ESTERI 2023/25 - LOTTO 3</t>
  </si>
  <si>
    <t>PI305535-23 ACQUISTO DI KIT DIAGNOSTICI CON METODICA ELISA</t>
  </si>
  <si>
    <t>Technogenetics SpA</t>
  </si>
  <si>
    <t>Sorin Group Italia s.r.l.</t>
  </si>
  <si>
    <t>ONORANZE FUNEBRI BORGHI</t>
  </si>
  <si>
    <t>ACQUISTO TUTE DI PROTEZIONE PER AMBIENTI A CONTAMINAZIONE CONTROLLATA</t>
  </si>
  <si>
    <t>I.S.A. COMPAGNIA ITALIANA</t>
  </si>
  <si>
    <t>Acquisto di n.2 Thermomixer per IRCCS Bellaria</t>
  </si>
  <si>
    <t>AIR LIQUIDE MERDICAL SYSTEMS. S.P.A</t>
  </si>
  <si>
    <t>Neopharmed Gentili</t>
  </si>
  <si>
    <t>DET. 2380/2023 ESITO SDA FORNITURA FARMCI ESTERI 2023/25 - LOTTO 15</t>
  </si>
  <si>
    <t>ACQUISTO DIANGOSTICI PER SIEROLOGIA</t>
  </si>
  <si>
    <t>ASSISTENZA TECNICA 2023 DITTA SAPI MED</t>
  </si>
  <si>
    <t>ULTERIORE ADESIONE MEDICINALI E RADIOFARMACI 22-24 ALUTARD LOTTO 34 (ALK ABELLO SPA)</t>
  </si>
  <si>
    <t>ALK ABELLO' S.P.A.</t>
  </si>
  <si>
    <t>DET. 2380/2023 ESITO SDA FORNITURA FARMCI ESTERI 2023/25 - LOTTO 23</t>
  </si>
  <si>
    <t>ASSISTENZA TECNICA 2023 DITTA VISUAL IMAGING</t>
  </si>
  <si>
    <t>Visual Imaging S.r.l.</t>
  </si>
  <si>
    <t>DET. 2380/2023 ESITO SDA FORNITURA FARMCI ESTERI 2023/25 - LOTTO 13</t>
  </si>
  <si>
    <t>Rays S.p.a.</t>
  </si>
  <si>
    <t>neumed srl</t>
  </si>
  <si>
    <t>ULTERIORE ADESIONE MEDICINALI E RADIOFARMACI 22-24 ALUTARD LOTTO 33 (ALK ABELLO SPA)</t>
  </si>
  <si>
    <t>SERVIZIO D TRASPORTO FUNEBRE SALMA DONETORE DI ORGANI</t>
  </si>
  <si>
    <t>LELLI SRL IMPRESA FUNEBRE DEIF.LLI LELLI</t>
  </si>
  <si>
    <t>ASSISTENZA TECNICA 2023 DITTA ZIEHM</t>
  </si>
  <si>
    <t>det 3090/23 adesione medicianli 2024-2025 lotto 129</t>
  </si>
  <si>
    <t>Bial Italia S.r.l.</t>
  </si>
  <si>
    <t>ACQUISTO CONSUMABILI DEDICATI PER STRUMENTI G.E. HEALT</t>
  </si>
  <si>
    <t>DET. 2380/2023 ESITO SDA FORNITURA FARMCI ESTERI 2023/25 - LOTTO 21</t>
  </si>
  <si>
    <t>det 3090/23 adesione medicinali 24-25 lotto 162 INSTITUT GEORGES LOPEZ s.a.s.</t>
  </si>
  <si>
    <t>INSTITUT GEORGES LOPEZ</t>
  </si>
  <si>
    <t>Giornata mondiale della salute mentale-PerchÃ© ci vuole una cittÃ  2023.Pratiche, collaborazioni: Diritti e pratiche per i serizi di salute mentale della cittÃ "</t>
  </si>
  <si>
    <t>IMMAGINI E SUONI SRL</t>
  </si>
  <si>
    <t>ACQUISTO CONSUMABILI TRAPANO RIMEC</t>
  </si>
  <si>
    <t>RIMEC ITALY SOCIETA' A RESPONSABILITA' LIMITATA SE</t>
  </si>
  <si>
    <t>Acquisto attrezzature elettriche</t>
  </si>
  <si>
    <t>DBO - Concorso di idee e-Care 2023 per lo svolgimento di attivitÃ  di sostegno alla fragilitÃ , promozione dellâ€™invecchiamento attivo e prevenzione della non autosufficienza - ASSOCIAZIONE CIVIBO ODV - ANNO 2023</t>
  </si>
  <si>
    <t>ASSOC.DI VOLONTARIATO CIVIBO</t>
  </si>
  <si>
    <t>ACQUISTO FARMACO</t>
  </si>
  <si>
    <t>det 3090/23 adesione medicinali 2024-2025 lotto30</t>
  </si>
  <si>
    <t>ASSISTENZA TECNICA PER CALIBRAZIONE STRUMENTO MATR. 3550900035</t>
  </si>
  <si>
    <t>CARLO ERBA REAGENTS S.r.l.</t>
  </si>
  <si>
    <t>DET. 2380/2023 ESITO SDA FORNITURA FARMCI ESTERI 2023/25 - LOTTO 4</t>
  </si>
  <si>
    <t>RDO Intercent-ER - PI325941-23 Acquisto materiale informatico vario su progetti finanziati e vari come da capitolato</t>
  </si>
  <si>
    <t>Acquisto Speculum, Pessari, Mat. Ginecologico Vario</t>
  </si>
  <si>
    <t>Acquisto di teli TNT sterili e copristrumenti</t>
  </si>
  <si>
    <t>Acquisizione URGENTE nÂ°8 (otto) monitor 27â€ Acer KA27</t>
  </si>
  <si>
    <t>Acquisto dispositivi medici per neurologia</t>
  </si>
  <si>
    <t>DBO - COOPERATIVA SOCIALE DOMUS COOP ONLUS- INSERIMENTOUTENTI DISABILI C/O LE STRUTTURE â€œRESIDENZA PSICHIATRICACASA SAN LEONARDOâ€ E â€œRESIDENZA PSICHIATRICA CASA SANTATERESAâ€_ 2023 - 2025</t>
  </si>
  <si>
    <t>SOCIETA COOPERATIVA SOCIALE DOMUS COOP - ONLUS</t>
  </si>
  <si>
    <t>Acquisizione URGENTE nÂ°11 (undici) batterie per lettori codice a barre LI4278 (Codice BTRY-LS42RAA0E-01)</t>
  </si>
  <si>
    <t>DET. 3063 del 20/12/2023 - Pubblicazione delle informazioni obbligatorie - dicembre 2023 - sulla Gazzetta Repubblica Italiana</t>
  </si>
  <si>
    <t>PN. CONTENITORI FORMALDEIDE 20-30 ML</t>
  </si>
  <si>
    <t>MECCANICA G.M. S.R.L.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</si>
</sst>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Font="1"/>
    <xf numFmtId="14" fontId="0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73"/>
  <sheetViews>
    <sheetView tabSelected="1" zoomScale="80" zoomScaleNormal="80" workbookViewId="0">
      <selection activeCell="A15" sqref="A15"/>
    </sheetView>
  </sheetViews>
  <sheetFormatPr defaultColWidth="13.85546875" defaultRowHeight="15"/>
  <cols>
    <col min="1" max="1" width="12.85546875" style="1" bestFit="1" customWidth="1"/>
    <col min="2" max="2" width="14.5703125" style="1" customWidth="1"/>
    <col min="3" max="3" width="38.7109375" style="1" bestFit="1" customWidth="1"/>
    <col min="4" max="4" width="35.42578125" style="1" customWidth="1"/>
    <col min="5" max="5" width="50.7109375" style="1" customWidth="1"/>
    <col min="6" max="6" width="55.42578125" style="1" customWidth="1"/>
    <col min="7" max="7" width="17.5703125" style="1" customWidth="1"/>
    <col min="8" max="8" width="21.5703125" style="1" customWidth="1"/>
    <col min="9" max="10" width="50.7109375" style="1" customWidth="1"/>
    <col min="11" max="11" width="17.85546875" style="1" bestFit="1" customWidth="1"/>
    <col min="12" max="12" width="23.42578125" style="1" bestFit="1" customWidth="1"/>
    <col min="13" max="13" width="21.28515625" style="1" bestFit="1" customWidth="1"/>
    <col min="14" max="14" width="24.5703125" style="1" bestFit="1" customWidth="1"/>
    <col min="15" max="32" width="12.28515625" style="1" customWidth="1"/>
    <col min="33" max="33" width="15.28515625" style="1" bestFit="1" customWidth="1"/>
    <col min="34" max="34" width="18.85546875" style="1" bestFit="1" customWidth="1"/>
    <col min="35" max="35" width="17.5703125" style="1" bestFit="1" customWidth="1"/>
    <col min="36" max="36" width="18.7109375" style="1" bestFit="1" customWidth="1"/>
    <col min="37" max="37" width="28.5703125" style="1" customWidth="1"/>
    <col min="38" max="16384" width="13.85546875" style="1"/>
  </cols>
  <sheetData>
    <row r="1" spans="1:3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>
      <c r="A2" s="1" t="str">
        <f>"763429210F"</f>
        <v>763429210F</v>
      </c>
      <c r="B2" s="1" t="str">
        <f t="shared" ref="B2:B65" si="0">"02406911202"</f>
        <v>02406911202</v>
      </c>
      <c r="C2" s="1" t="s">
        <v>13</v>
      </c>
      <c r="D2" s="1" t="s">
        <v>37</v>
      </c>
      <c r="E2" s="1" t="s">
        <v>38</v>
      </c>
      <c r="F2" s="1" t="s">
        <v>39</v>
      </c>
      <c r="M2" s="1">
        <v>5248332</v>
      </c>
      <c r="AG2" s="1">
        <v>4945675.62</v>
      </c>
      <c r="AH2" s="2">
        <v>45108</v>
      </c>
      <c r="AI2" s="2">
        <v>46203</v>
      </c>
      <c r="AJ2" s="2">
        <v>45108</v>
      </c>
    </row>
    <row r="3" spans="1:37">
      <c r="A3" s="1" t="str">
        <f>"98723622D9"</f>
        <v>98723622D9</v>
      </c>
      <c r="B3" s="1" t="str">
        <f t="shared" si="0"/>
        <v>02406911202</v>
      </c>
      <c r="C3" s="1" t="s">
        <v>13</v>
      </c>
      <c r="D3" s="1" t="s">
        <v>40</v>
      </c>
      <c r="E3" s="1" t="s">
        <v>41</v>
      </c>
      <c r="F3" s="1" t="s">
        <v>39</v>
      </c>
      <c r="G3" s="1" t="str">
        <f>"00962280590"</f>
        <v>00962280590</v>
      </c>
      <c r="I3" s="1" t="s">
        <v>42</v>
      </c>
      <c r="L3" s="1" t="s">
        <v>43</v>
      </c>
      <c r="M3" s="1">
        <v>454952.96000000002</v>
      </c>
      <c r="N3" s="1">
        <v>308000</v>
      </c>
      <c r="O3" s="1">
        <v>74511.360000000001</v>
      </c>
      <c r="Q3" s="1">
        <v>72441.600000000006</v>
      </c>
      <c r="AJ3" s="2">
        <v>45146</v>
      </c>
    </row>
    <row r="4" spans="1:37">
      <c r="A4" s="1" t="str">
        <f>"998045974F"</f>
        <v>998045974F</v>
      </c>
      <c r="B4" s="1" t="str">
        <f t="shared" si="0"/>
        <v>02406911202</v>
      </c>
      <c r="C4" s="1" t="s">
        <v>13</v>
      </c>
      <c r="D4" s="1" t="s">
        <v>40</v>
      </c>
      <c r="E4" s="1" t="s">
        <v>44</v>
      </c>
      <c r="F4" s="1" t="s">
        <v>39</v>
      </c>
      <c r="G4" s="1" t="str">
        <f>"03878140239"</f>
        <v>03878140239</v>
      </c>
      <c r="I4" s="1" t="s">
        <v>45</v>
      </c>
      <c r="L4" s="1" t="s">
        <v>43</v>
      </c>
      <c r="M4" s="1">
        <v>4627455.8600000003</v>
      </c>
      <c r="N4" s="1">
        <v>116176.75</v>
      </c>
      <c r="O4" s="1">
        <v>4149169.75</v>
      </c>
      <c r="Q4" s="1">
        <v>362109.36</v>
      </c>
      <c r="AJ4" s="2">
        <v>45131</v>
      </c>
    </row>
    <row r="5" spans="1:37">
      <c r="A5" s="1" t="str">
        <f>"9980471138"</f>
        <v>9980471138</v>
      </c>
      <c r="B5" s="1" t="str">
        <f t="shared" si="0"/>
        <v>02406911202</v>
      </c>
      <c r="C5" s="1" t="s">
        <v>13</v>
      </c>
      <c r="D5" s="1" t="s">
        <v>40</v>
      </c>
      <c r="E5" s="1" t="s">
        <v>46</v>
      </c>
      <c r="F5" s="1" t="s">
        <v>39</v>
      </c>
      <c r="G5" s="1" t="str">
        <f>"00468270582"</f>
        <v>00468270582</v>
      </c>
      <c r="I5" s="1" t="s">
        <v>47</v>
      </c>
      <c r="L5" s="1" t="s">
        <v>43</v>
      </c>
      <c r="M5" s="1">
        <v>2150907.2799999998</v>
      </c>
      <c r="N5" s="1">
        <v>740476.28</v>
      </c>
      <c r="O5" s="1">
        <v>1410431</v>
      </c>
      <c r="AJ5" s="2">
        <v>45131</v>
      </c>
    </row>
    <row r="6" spans="1:37">
      <c r="A6" s="1" t="str">
        <f>"99500733FE"</f>
        <v>99500733FE</v>
      </c>
      <c r="B6" s="1" t="str">
        <f t="shared" si="0"/>
        <v>02406911202</v>
      </c>
      <c r="C6" s="1" t="s">
        <v>13</v>
      </c>
      <c r="D6" s="1" t="s">
        <v>40</v>
      </c>
      <c r="E6" s="1" t="s">
        <v>48</v>
      </c>
      <c r="F6" s="1" t="s">
        <v>39</v>
      </c>
      <c r="H6" s="1" t="str">
        <f>"DE813917916"</f>
        <v>DE813917916</v>
      </c>
      <c r="I6" s="1" t="s">
        <v>49</v>
      </c>
      <c r="L6" s="1" t="s">
        <v>43</v>
      </c>
      <c r="M6" s="1">
        <v>700000</v>
      </c>
      <c r="O6" s="1">
        <v>700000</v>
      </c>
      <c r="AJ6" s="2">
        <v>45113</v>
      </c>
    </row>
    <row r="7" spans="1:37">
      <c r="A7" s="1" t="str">
        <f>"99586791E4"</f>
        <v>99586791E4</v>
      </c>
      <c r="B7" s="1" t="str">
        <f t="shared" si="0"/>
        <v>02406911202</v>
      </c>
      <c r="C7" s="1" t="s">
        <v>13</v>
      </c>
      <c r="D7" s="1" t="s">
        <v>40</v>
      </c>
      <c r="E7" s="1" t="s">
        <v>50</v>
      </c>
      <c r="F7" s="1" t="s">
        <v>51</v>
      </c>
      <c r="G7" s="1" t="str">
        <f>"02723670960"</f>
        <v>02723670960</v>
      </c>
      <c r="I7" s="1" t="s">
        <v>52</v>
      </c>
      <c r="L7" s="1" t="s">
        <v>43</v>
      </c>
      <c r="M7" s="1">
        <v>165000</v>
      </c>
      <c r="O7" s="1">
        <v>165000</v>
      </c>
      <c r="AJ7" s="2">
        <v>45119</v>
      </c>
    </row>
    <row r="8" spans="1:37">
      <c r="A8" s="1" t="str">
        <f>"9966563BF6"</f>
        <v>9966563BF6</v>
      </c>
      <c r="B8" s="1" t="str">
        <f t="shared" si="0"/>
        <v>02406911202</v>
      </c>
      <c r="C8" s="1" t="s">
        <v>13</v>
      </c>
      <c r="D8" s="1" t="s">
        <v>40</v>
      </c>
      <c r="E8" s="1" t="s">
        <v>53</v>
      </c>
      <c r="F8" s="1" t="s">
        <v>39</v>
      </c>
      <c r="G8" s="1" t="str">
        <f>"02006400960"</f>
        <v>02006400960</v>
      </c>
      <c r="I8" s="1" t="s">
        <v>54</v>
      </c>
      <c r="L8" s="1" t="s">
        <v>43</v>
      </c>
      <c r="M8" s="1">
        <v>936098.13</v>
      </c>
      <c r="N8" s="1">
        <v>575055.1</v>
      </c>
      <c r="Q8" s="1">
        <v>174897.2</v>
      </c>
      <c r="R8" s="1">
        <v>186145.83</v>
      </c>
      <c r="AJ8" s="2">
        <v>45125</v>
      </c>
    </row>
    <row r="9" spans="1:37">
      <c r="A9" s="1" t="str">
        <f>"9943553F81"</f>
        <v>9943553F81</v>
      </c>
      <c r="B9" s="1" t="str">
        <f t="shared" si="0"/>
        <v>02406911202</v>
      </c>
      <c r="C9" s="1" t="s">
        <v>13</v>
      </c>
      <c r="D9" s="1" t="s">
        <v>40</v>
      </c>
      <c r="E9" s="1" t="s">
        <v>55</v>
      </c>
      <c r="F9" s="1" t="s">
        <v>39</v>
      </c>
      <c r="G9" s="1" t="str">
        <f>"00492340583"</f>
        <v>00492340583</v>
      </c>
      <c r="I9" s="1" t="s">
        <v>56</v>
      </c>
      <c r="L9" s="1" t="s">
        <v>43</v>
      </c>
      <c r="M9" s="1">
        <v>931018.5</v>
      </c>
      <c r="O9" s="1">
        <v>931018.5</v>
      </c>
      <c r="AJ9" s="2">
        <v>45111</v>
      </c>
    </row>
    <row r="10" spans="1:37">
      <c r="A10" s="1" t="str">
        <f>"986573888B"</f>
        <v>986573888B</v>
      </c>
      <c r="B10" s="1" t="str">
        <f t="shared" si="0"/>
        <v>02406911202</v>
      </c>
      <c r="C10" s="1" t="s">
        <v>13</v>
      </c>
      <c r="D10" s="1" t="s">
        <v>40</v>
      </c>
      <c r="E10" s="1" t="s">
        <v>57</v>
      </c>
      <c r="F10" s="1" t="s">
        <v>39</v>
      </c>
      <c r="G10" s="1" t="str">
        <f>"12792100153"</f>
        <v>12792100153</v>
      </c>
      <c r="I10" s="1" t="s">
        <v>58</v>
      </c>
      <c r="L10" s="1" t="s">
        <v>43</v>
      </c>
      <c r="M10" s="1">
        <v>132500</v>
      </c>
      <c r="O10" s="1">
        <v>132500</v>
      </c>
      <c r="AJ10" s="2">
        <v>45121</v>
      </c>
    </row>
    <row r="11" spans="1:37">
      <c r="A11" s="1" t="str">
        <f>"98884406D4"</f>
        <v>98884406D4</v>
      </c>
      <c r="B11" s="1" t="str">
        <f t="shared" si="0"/>
        <v>02406911202</v>
      </c>
      <c r="C11" s="1" t="s">
        <v>13</v>
      </c>
      <c r="D11" s="1" t="s">
        <v>40</v>
      </c>
      <c r="E11" s="1" t="s">
        <v>59</v>
      </c>
      <c r="F11" s="1" t="s">
        <v>39</v>
      </c>
      <c r="G11" s="1" t="str">
        <f>"04039860376"</f>
        <v>04039860376</v>
      </c>
      <c r="I11" s="1" t="s">
        <v>60</v>
      </c>
      <c r="L11" s="1" t="s">
        <v>43</v>
      </c>
      <c r="M11" s="1">
        <v>480000</v>
      </c>
      <c r="O11" s="1">
        <v>480000</v>
      </c>
      <c r="AJ11" s="2">
        <v>45134</v>
      </c>
    </row>
    <row r="12" spans="1:37">
      <c r="A12" s="1" t="str">
        <f>"A005700C3F"</f>
        <v>A005700C3F</v>
      </c>
      <c r="B12" s="1" t="str">
        <f t="shared" si="0"/>
        <v>02406911202</v>
      </c>
      <c r="C12" s="1" t="s">
        <v>13</v>
      </c>
      <c r="D12" s="1" t="s">
        <v>40</v>
      </c>
      <c r="E12" s="1" t="s">
        <v>61</v>
      </c>
      <c r="F12" s="1" t="s">
        <v>39</v>
      </c>
      <c r="G12" s="1" t="str">
        <f>"04754860155"</f>
        <v>04754860155</v>
      </c>
      <c r="I12" s="1" t="s">
        <v>62</v>
      </c>
      <c r="L12" s="1" t="s">
        <v>43</v>
      </c>
      <c r="M12" s="1">
        <v>486220</v>
      </c>
      <c r="N12" s="1">
        <v>141680</v>
      </c>
      <c r="O12" s="1">
        <v>344540</v>
      </c>
      <c r="AJ12" s="2">
        <v>45154</v>
      </c>
    </row>
    <row r="13" spans="1:37">
      <c r="A13" s="1" t="str">
        <f>"9944363BF1"</f>
        <v>9944363BF1</v>
      </c>
      <c r="B13" s="1" t="str">
        <f t="shared" si="0"/>
        <v>02406911202</v>
      </c>
      <c r="C13" s="1" t="s">
        <v>13</v>
      </c>
      <c r="D13" s="1" t="s">
        <v>40</v>
      </c>
      <c r="E13" s="1" t="s">
        <v>63</v>
      </c>
      <c r="F13" s="1" t="s">
        <v>39</v>
      </c>
      <c r="G13" s="1" t="str">
        <f>"04804230151"</f>
        <v>04804230151</v>
      </c>
      <c r="I13" s="1" t="s">
        <v>64</v>
      </c>
      <c r="L13" s="1" t="s">
        <v>43</v>
      </c>
      <c r="M13" s="1">
        <v>3608066</v>
      </c>
      <c r="O13" s="1">
        <v>3608066</v>
      </c>
      <c r="AJ13" s="2">
        <v>45110</v>
      </c>
    </row>
    <row r="14" spans="1:37">
      <c r="A14" s="1" t="str">
        <f>"9973159F26"</f>
        <v>9973159F26</v>
      </c>
      <c r="B14" s="1" t="str">
        <f t="shared" si="0"/>
        <v>02406911202</v>
      </c>
      <c r="C14" s="1" t="s">
        <v>13</v>
      </c>
      <c r="D14" s="1" t="s">
        <v>40</v>
      </c>
      <c r="E14" s="1" t="s">
        <v>65</v>
      </c>
      <c r="F14" s="1" t="s">
        <v>39</v>
      </c>
      <c r="G14" s="1" t="str">
        <f>"11264670156"</f>
        <v>11264670156</v>
      </c>
      <c r="I14" s="1" t="s">
        <v>66</v>
      </c>
      <c r="L14" s="1" t="s">
        <v>43</v>
      </c>
      <c r="M14" s="1">
        <v>600000</v>
      </c>
      <c r="O14" s="1">
        <v>600000</v>
      </c>
      <c r="AJ14" s="2">
        <v>45126</v>
      </c>
    </row>
    <row r="15" spans="1:37">
      <c r="A15" s="1" t="str">
        <f>"9962328523"</f>
        <v>9962328523</v>
      </c>
      <c r="B15" s="1" t="str">
        <f t="shared" si="0"/>
        <v>02406911202</v>
      </c>
      <c r="C15" s="1" t="s">
        <v>13</v>
      </c>
      <c r="D15" s="1" t="s">
        <v>40</v>
      </c>
      <c r="E15" s="1" t="s">
        <v>67</v>
      </c>
      <c r="F15" s="1" t="s">
        <v>39</v>
      </c>
      <c r="G15" s="1" t="str">
        <f>"11206730159"</f>
        <v>11206730159</v>
      </c>
      <c r="I15" s="1" t="s">
        <v>68</v>
      </c>
      <c r="L15" s="1" t="s">
        <v>43</v>
      </c>
      <c r="M15" s="1">
        <v>13000</v>
      </c>
      <c r="N15" s="1">
        <v>13000</v>
      </c>
      <c r="AJ15" s="2">
        <v>45121</v>
      </c>
    </row>
    <row r="16" spans="1:37">
      <c r="A16" s="1" t="str">
        <f>"9962335AE8"</f>
        <v>9962335AE8</v>
      </c>
      <c r="B16" s="1" t="str">
        <f t="shared" si="0"/>
        <v>02406911202</v>
      </c>
      <c r="C16" s="1" t="s">
        <v>13</v>
      </c>
      <c r="D16" s="1" t="s">
        <v>40</v>
      </c>
      <c r="E16" s="1" t="s">
        <v>69</v>
      </c>
      <c r="F16" s="1" t="s">
        <v>39</v>
      </c>
      <c r="G16" s="1" t="str">
        <f>"11206730159"</f>
        <v>11206730159</v>
      </c>
      <c r="I16" s="1" t="s">
        <v>68</v>
      </c>
      <c r="L16" s="1" t="s">
        <v>43</v>
      </c>
      <c r="M16" s="1">
        <v>117700</v>
      </c>
      <c r="N16" s="1">
        <v>25000</v>
      </c>
      <c r="O16" s="1">
        <v>25000</v>
      </c>
      <c r="Q16" s="1">
        <v>62500</v>
      </c>
      <c r="S16" s="1">
        <v>5200</v>
      </c>
      <c r="AJ16" s="2">
        <v>45121</v>
      </c>
    </row>
    <row r="17" spans="1:36">
      <c r="A17" s="1" t="str">
        <f>"9968162382"</f>
        <v>9968162382</v>
      </c>
      <c r="B17" s="1" t="str">
        <f t="shared" si="0"/>
        <v>02406911202</v>
      </c>
      <c r="C17" s="1" t="s">
        <v>13</v>
      </c>
      <c r="D17" s="1" t="s">
        <v>40</v>
      </c>
      <c r="E17" s="1" t="s">
        <v>70</v>
      </c>
      <c r="F17" s="1" t="s">
        <v>39</v>
      </c>
      <c r="G17" s="1" t="str">
        <f>"02079181208"</f>
        <v>02079181208</v>
      </c>
      <c r="I17" s="1" t="s">
        <v>71</v>
      </c>
      <c r="L17" s="1" t="s">
        <v>43</v>
      </c>
      <c r="M17" s="1">
        <v>16072</v>
      </c>
      <c r="N17" s="1">
        <v>11480</v>
      </c>
      <c r="O17" s="1">
        <v>4592</v>
      </c>
      <c r="AJ17" s="2">
        <v>45125</v>
      </c>
    </row>
    <row r="18" spans="1:36">
      <c r="A18" s="1" t="str">
        <f>"9968236094"</f>
        <v>9968236094</v>
      </c>
      <c r="B18" s="1" t="str">
        <f t="shared" si="0"/>
        <v>02406911202</v>
      </c>
      <c r="C18" s="1" t="s">
        <v>13</v>
      </c>
      <c r="D18" s="1" t="s">
        <v>40</v>
      </c>
      <c r="E18" s="1" t="s">
        <v>72</v>
      </c>
      <c r="F18" s="1" t="s">
        <v>39</v>
      </c>
      <c r="G18" s="1" t="str">
        <f>"02079181208"</f>
        <v>02079181208</v>
      </c>
      <c r="I18" s="1" t="s">
        <v>71</v>
      </c>
      <c r="L18" s="1" t="s">
        <v>43</v>
      </c>
      <c r="M18" s="1">
        <v>23950</v>
      </c>
      <c r="N18" s="1">
        <v>9580</v>
      </c>
      <c r="O18" s="1">
        <v>14370</v>
      </c>
      <c r="AJ18" s="2">
        <v>45125</v>
      </c>
    </row>
    <row r="19" spans="1:36">
      <c r="A19" s="1" t="str">
        <f>"9968252DC4"</f>
        <v>9968252DC4</v>
      </c>
      <c r="B19" s="1" t="str">
        <f t="shared" si="0"/>
        <v>02406911202</v>
      </c>
      <c r="C19" s="1" t="s">
        <v>13</v>
      </c>
      <c r="D19" s="1" t="s">
        <v>40</v>
      </c>
      <c r="E19" s="1" t="s">
        <v>73</v>
      </c>
      <c r="F19" s="1" t="s">
        <v>39</v>
      </c>
      <c r="G19" s="1" t="str">
        <f>"02079181208"</f>
        <v>02079181208</v>
      </c>
      <c r="I19" s="1" t="s">
        <v>71</v>
      </c>
      <c r="L19" s="1" t="s">
        <v>43</v>
      </c>
      <c r="M19" s="1">
        <v>1180</v>
      </c>
      <c r="O19" s="1">
        <v>1180</v>
      </c>
      <c r="AJ19" s="2">
        <v>45125</v>
      </c>
    </row>
    <row r="20" spans="1:36">
      <c r="A20" s="1" t="str">
        <f>"9968261534"</f>
        <v>9968261534</v>
      </c>
      <c r="B20" s="1" t="str">
        <f t="shared" si="0"/>
        <v>02406911202</v>
      </c>
      <c r="C20" s="1" t="s">
        <v>13</v>
      </c>
      <c r="D20" s="1" t="s">
        <v>40</v>
      </c>
      <c r="E20" s="1" t="s">
        <v>74</v>
      </c>
      <c r="F20" s="1" t="s">
        <v>39</v>
      </c>
      <c r="G20" s="1" t="str">
        <f>"04717080966"</f>
        <v>04717080966</v>
      </c>
      <c r="I20" s="1" t="s">
        <v>75</v>
      </c>
      <c r="L20" s="1" t="s">
        <v>43</v>
      </c>
      <c r="M20" s="1">
        <v>9200</v>
      </c>
      <c r="N20" s="1">
        <v>9200</v>
      </c>
      <c r="AJ20" s="2">
        <v>45125</v>
      </c>
    </row>
    <row r="21" spans="1:36">
      <c r="A21" s="1" t="str">
        <f>"9968274FEB"</f>
        <v>9968274FEB</v>
      </c>
      <c r="B21" s="1" t="str">
        <f t="shared" si="0"/>
        <v>02406911202</v>
      </c>
      <c r="C21" s="1" t="s">
        <v>13</v>
      </c>
      <c r="D21" s="1" t="s">
        <v>40</v>
      </c>
      <c r="E21" s="1" t="s">
        <v>76</v>
      </c>
      <c r="F21" s="1" t="s">
        <v>39</v>
      </c>
      <c r="G21" s="1" t="str">
        <f>"04717080966"</f>
        <v>04717080966</v>
      </c>
      <c r="I21" s="1" t="s">
        <v>75</v>
      </c>
      <c r="L21" s="1" t="s">
        <v>43</v>
      </c>
      <c r="M21" s="1">
        <v>456</v>
      </c>
      <c r="N21" s="1">
        <v>380</v>
      </c>
      <c r="O21" s="1">
        <v>76</v>
      </c>
      <c r="AJ21" s="2">
        <v>45125</v>
      </c>
    </row>
    <row r="22" spans="1:36">
      <c r="A22" s="1" t="str">
        <f>"9968289C4D"</f>
        <v>9968289C4D</v>
      </c>
      <c r="B22" s="1" t="str">
        <f t="shared" si="0"/>
        <v>02406911202</v>
      </c>
      <c r="C22" s="1" t="s">
        <v>13</v>
      </c>
      <c r="D22" s="1" t="s">
        <v>40</v>
      </c>
      <c r="E22" s="1" t="s">
        <v>77</v>
      </c>
      <c r="F22" s="1" t="s">
        <v>39</v>
      </c>
      <c r="G22" s="1" t="str">
        <f>"04717080966"</f>
        <v>04717080966</v>
      </c>
      <c r="I22" s="1" t="s">
        <v>75</v>
      </c>
      <c r="L22" s="1" t="s">
        <v>43</v>
      </c>
      <c r="M22" s="1">
        <v>504</v>
      </c>
      <c r="N22" s="1">
        <v>420</v>
      </c>
      <c r="O22" s="1">
        <v>84</v>
      </c>
      <c r="AJ22" s="2">
        <v>45125</v>
      </c>
    </row>
    <row r="23" spans="1:36">
      <c r="A23" s="1" t="str">
        <f>"9968308BFB"</f>
        <v>9968308BFB</v>
      </c>
      <c r="B23" s="1" t="str">
        <f t="shared" si="0"/>
        <v>02406911202</v>
      </c>
      <c r="C23" s="1" t="s">
        <v>13</v>
      </c>
      <c r="D23" s="1" t="s">
        <v>40</v>
      </c>
      <c r="E23" s="1" t="s">
        <v>78</v>
      </c>
      <c r="F23" s="1" t="s">
        <v>39</v>
      </c>
      <c r="G23" s="1" t="str">
        <f>"02079181208"</f>
        <v>02079181208</v>
      </c>
      <c r="I23" s="1" t="s">
        <v>71</v>
      </c>
      <c r="L23" s="1" t="s">
        <v>43</v>
      </c>
      <c r="M23" s="1">
        <v>2000</v>
      </c>
      <c r="N23" s="1">
        <v>1000</v>
      </c>
      <c r="O23" s="1">
        <v>1000</v>
      </c>
      <c r="AJ23" s="2">
        <v>45125</v>
      </c>
    </row>
    <row r="24" spans="1:36">
      <c r="A24" s="1" t="str">
        <f>"9966906705"</f>
        <v>9966906705</v>
      </c>
      <c r="B24" s="1" t="str">
        <f t="shared" si="0"/>
        <v>02406911202</v>
      </c>
      <c r="C24" s="1" t="s">
        <v>13</v>
      </c>
      <c r="D24" s="1" t="s">
        <v>40</v>
      </c>
      <c r="E24" s="1" t="s">
        <v>79</v>
      </c>
      <c r="F24" s="1" t="s">
        <v>39</v>
      </c>
      <c r="G24" s="1" t="str">
        <f>"01778520302"</f>
        <v>01778520302</v>
      </c>
      <c r="I24" s="1" t="s">
        <v>80</v>
      </c>
      <c r="L24" s="1" t="s">
        <v>43</v>
      </c>
      <c r="M24" s="1">
        <v>173726</v>
      </c>
      <c r="O24" s="1">
        <v>173726</v>
      </c>
      <c r="AJ24" s="2">
        <v>45124</v>
      </c>
    </row>
    <row r="25" spans="1:36">
      <c r="A25" s="1" t="str">
        <f>"9966920294"</f>
        <v>9966920294</v>
      </c>
      <c r="B25" s="1" t="str">
        <f t="shared" si="0"/>
        <v>02406911202</v>
      </c>
      <c r="C25" s="1" t="s">
        <v>13</v>
      </c>
      <c r="D25" s="1" t="s">
        <v>40</v>
      </c>
      <c r="E25" s="1" t="s">
        <v>81</v>
      </c>
      <c r="F25" s="1" t="s">
        <v>39</v>
      </c>
      <c r="G25" s="1" t="str">
        <f>"02079181208"</f>
        <v>02079181208</v>
      </c>
      <c r="I25" s="1" t="s">
        <v>71</v>
      </c>
      <c r="L25" s="1" t="s">
        <v>43</v>
      </c>
      <c r="M25" s="1">
        <v>242166.95</v>
      </c>
      <c r="O25" s="1">
        <v>242166.95</v>
      </c>
      <c r="AJ25" s="2">
        <v>45124</v>
      </c>
    </row>
    <row r="26" spans="1:36">
      <c r="A26" s="1" t="str">
        <f>"Z463C47BC3"</f>
        <v>Z463C47BC3</v>
      </c>
      <c r="B26" s="1" t="str">
        <f t="shared" si="0"/>
        <v>02406911202</v>
      </c>
      <c r="C26" s="1" t="s">
        <v>13</v>
      </c>
      <c r="D26" s="1" t="s">
        <v>40</v>
      </c>
      <c r="E26" s="1" t="s">
        <v>82</v>
      </c>
      <c r="F26" s="1" t="s">
        <v>39</v>
      </c>
      <c r="G26" s="1" t="str">
        <f>"02645920592"</f>
        <v>02645920592</v>
      </c>
      <c r="I26" s="1" t="s">
        <v>83</v>
      </c>
      <c r="L26" s="1" t="s">
        <v>43</v>
      </c>
      <c r="M26" s="1">
        <v>18305</v>
      </c>
      <c r="N26" s="1">
        <v>10460</v>
      </c>
      <c r="O26" s="1">
        <v>3661</v>
      </c>
      <c r="Q26" s="1">
        <v>4184</v>
      </c>
      <c r="AJ26" s="2">
        <v>45167</v>
      </c>
    </row>
    <row r="27" spans="1:36">
      <c r="A27" s="1" t="str">
        <f>"A0088573B0"</f>
        <v>A0088573B0</v>
      </c>
      <c r="B27" s="1" t="str">
        <f t="shared" si="0"/>
        <v>02406911202</v>
      </c>
      <c r="C27" s="1" t="s">
        <v>13</v>
      </c>
      <c r="D27" s="1" t="s">
        <v>40</v>
      </c>
      <c r="E27" s="1" t="s">
        <v>82</v>
      </c>
      <c r="F27" s="1" t="s">
        <v>39</v>
      </c>
      <c r="H27" s="1" t="str">
        <f>"SWE-556737-4681"</f>
        <v>SWE-556737-4681</v>
      </c>
      <c r="I27" s="1" t="s">
        <v>84</v>
      </c>
      <c r="L27" s="1" t="s">
        <v>43</v>
      </c>
      <c r="M27" s="1">
        <v>634490.6</v>
      </c>
      <c r="N27" s="1">
        <v>375236.39</v>
      </c>
      <c r="O27" s="1">
        <v>177384.46</v>
      </c>
      <c r="Q27" s="1">
        <v>81869.75</v>
      </c>
      <c r="AJ27" s="2">
        <v>45167</v>
      </c>
    </row>
    <row r="28" spans="1:36">
      <c r="A28" s="1" t="str">
        <f>"A008871923"</f>
        <v>A008871923</v>
      </c>
      <c r="B28" s="1" t="str">
        <f t="shared" si="0"/>
        <v>02406911202</v>
      </c>
      <c r="C28" s="1" t="s">
        <v>13</v>
      </c>
      <c r="D28" s="1" t="s">
        <v>40</v>
      </c>
      <c r="E28" s="1" t="s">
        <v>82</v>
      </c>
      <c r="F28" s="1" t="s">
        <v>39</v>
      </c>
      <c r="G28" s="1" t="str">
        <f>"04918311210"</f>
        <v>04918311210</v>
      </c>
      <c r="I28" s="1" t="s">
        <v>85</v>
      </c>
      <c r="L28" s="1" t="s">
        <v>43</v>
      </c>
      <c r="M28" s="1">
        <v>183401.02</v>
      </c>
      <c r="N28" s="1">
        <v>108766</v>
      </c>
      <c r="O28" s="1">
        <v>62016.92</v>
      </c>
      <c r="Q28" s="1">
        <v>12618.1</v>
      </c>
      <c r="AJ28" s="2">
        <v>45167</v>
      </c>
    </row>
    <row r="29" spans="1:36">
      <c r="A29" s="1" t="str">
        <f>"A00468B793"</f>
        <v>A00468B793</v>
      </c>
      <c r="B29" s="1" t="str">
        <f t="shared" si="0"/>
        <v>02406911202</v>
      </c>
      <c r="C29" s="1" t="s">
        <v>13</v>
      </c>
      <c r="D29" s="1" t="s">
        <v>40</v>
      </c>
      <c r="E29" s="1" t="s">
        <v>86</v>
      </c>
      <c r="F29" s="1" t="s">
        <v>39</v>
      </c>
      <c r="G29" s="1" t="str">
        <f>"00674840152"</f>
        <v>00674840152</v>
      </c>
      <c r="I29" s="1" t="s">
        <v>87</v>
      </c>
      <c r="L29" s="1" t="s">
        <v>43</v>
      </c>
      <c r="M29" s="1">
        <v>72773.05</v>
      </c>
      <c r="N29" s="1">
        <v>32560</v>
      </c>
      <c r="O29" s="1">
        <v>8517</v>
      </c>
      <c r="P29" s="1">
        <v>2587</v>
      </c>
      <c r="Q29" s="1">
        <v>29109.05</v>
      </c>
      <c r="AJ29" s="2">
        <v>45148</v>
      </c>
    </row>
    <row r="30" spans="1:36">
      <c r="A30" s="1" t="str">
        <f>"A004690BB2"</f>
        <v>A004690BB2</v>
      </c>
      <c r="B30" s="1" t="str">
        <f t="shared" si="0"/>
        <v>02406911202</v>
      </c>
      <c r="C30" s="1" t="s">
        <v>13</v>
      </c>
      <c r="D30" s="1" t="s">
        <v>40</v>
      </c>
      <c r="E30" s="1" t="s">
        <v>86</v>
      </c>
      <c r="F30" s="1" t="s">
        <v>39</v>
      </c>
      <c r="G30" s="1" t="str">
        <f>"08082461008"</f>
        <v>08082461008</v>
      </c>
      <c r="I30" s="1" t="s">
        <v>88</v>
      </c>
      <c r="L30" s="1" t="s">
        <v>43</v>
      </c>
      <c r="M30" s="1">
        <v>878610.7</v>
      </c>
      <c r="N30" s="1">
        <v>301502.82</v>
      </c>
      <c r="O30" s="1">
        <v>407709.62</v>
      </c>
      <c r="P30" s="1">
        <v>108098.85</v>
      </c>
      <c r="Q30" s="1">
        <v>61299.41</v>
      </c>
      <c r="AJ30" s="2">
        <v>45148</v>
      </c>
    </row>
    <row r="31" spans="1:36">
      <c r="A31" s="1" t="str">
        <f>"A0088848D1"</f>
        <v>A0088848D1</v>
      </c>
      <c r="B31" s="1" t="str">
        <f t="shared" si="0"/>
        <v>02406911202</v>
      </c>
      <c r="C31" s="1" t="s">
        <v>13</v>
      </c>
      <c r="D31" s="1" t="s">
        <v>40</v>
      </c>
      <c r="E31" s="1" t="s">
        <v>82</v>
      </c>
      <c r="F31" s="1" t="s">
        <v>39</v>
      </c>
      <c r="G31" s="1" t="str">
        <f>"00101780492"</f>
        <v>00101780492</v>
      </c>
      <c r="I31" s="1" t="s">
        <v>89</v>
      </c>
      <c r="L31" s="1" t="s">
        <v>43</v>
      </c>
      <c r="M31" s="1">
        <v>186788.8</v>
      </c>
      <c r="N31" s="1">
        <v>74054.679999999993</v>
      </c>
      <c r="O31" s="1">
        <v>94280.11</v>
      </c>
      <c r="P31" s="1">
        <v>6305.75</v>
      </c>
      <c r="Q31" s="1">
        <v>12148.26</v>
      </c>
      <c r="AJ31" s="2">
        <v>45167</v>
      </c>
    </row>
    <row r="32" spans="1:36">
      <c r="A32" s="1" t="str">
        <f>"Z2E3C47C28"</f>
        <v>Z2E3C47C28</v>
      </c>
      <c r="B32" s="1" t="str">
        <f t="shared" si="0"/>
        <v>02406911202</v>
      </c>
      <c r="C32" s="1" t="s">
        <v>13</v>
      </c>
      <c r="D32" s="1" t="s">
        <v>40</v>
      </c>
      <c r="E32" s="1" t="s">
        <v>82</v>
      </c>
      <c r="F32" s="1" t="s">
        <v>39</v>
      </c>
      <c r="G32" s="1" t="str">
        <f>"10863670153"</f>
        <v>10863670153</v>
      </c>
      <c r="I32" s="1" t="s">
        <v>90</v>
      </c>
      <c r="L32" s="1" t="s">
        <v>43</v>
      </c>
      <c r="M32" s="1">
        <v>4686.42</v>
      </c>
      <c r="N32" s="1">
        <v>4539</v>
      </c>
      <c r="Q32" s="1">
        <v>147.41999999999999</v>
      </c>
      <c r="AJ32" s="2">
        <v>45167</v>
      </c>
    </row>
    <row r="33" spans="1:37">
      <c r="A33" s="1" t="str">
        <f>"ZCF3C47C69"</f>
        <v>ZCF3C47C69</v>
      </c>
      <c r="B33" s="1" t="str">
        <f t="shared" si="0"/>
        <v>02406911202</v>
      </c>
      <c r="C33" s="1" t="s">
        <v>13</v>
      </c>
      <c r="D33" s="1" t="s">
        <v>40</v>
      </c>
      <c r="E33" s="1" t="s">
        <v>82</v>
      </c>
      <c r="F33" s="1" t="s">
        <v>39</v>
      </c>
      <c r="G33" s="1" t="str">
        <f>"10158651009"</f>
        <v>10158651009</v>
      </c>
      <c r="I33" s="1" t="s">
        <v>91</v>
      </c>
      <c r="L33" s="1" t="s">
        <v>43</v>
      </c>
      <c r="M33" s="1">
        <v>3370.8</v>
      </c>
      <c r="N33" s="1">
        <v>3339</v>
      </c>
      <c r="O33" s="1">
        <v>15.9</v>
      </c>
      <c r="Q33" s="1">
        <v>15.9</v>
      </c>
      <c r="AJ33" s="2">
        <v>45167</v>
      </c>
    </row>
    <row r="34" spans="1:37">
      <c r="A34" s="1" t="str">
        <f>"A004695FD1"</f>
        <v>A004695FD1</v>
      </c>
      <c r="B34" s="1" t="str">
        <f t="shared" si="0"/>
        <v>02406911202</v>
      </c>
      <c r="C34" s="1" t="s">
        <v>13</v>
      </c>
      <c r="D34" s="1" t="s">
        <v>40</v>
      </c>
      <c r="E34" s="1" t="s">
        <v>86</v>
      </c>
      <c r="F34" s="1" t="s">
        <v>39</v>
      </c>
      <c r="G34" s="1" t="str">
        <f>"09238800156"</f>
        <v>09238800156</v>
      </c>
      <c r="I34" s="1" t="s">
        <v>92</v>
      </c>
      <c r="L34" s="1" t="s">
        <v>43</v>
      </c>
      <c r="M34" s="1">
        <v>212940</v>
      </c>
      <c r="N34" s="1">
        <v>69788.11</v>
      </c>
      <c r="O34" s="1">
        <v>118615.89</v>
      </c>
      <c r="P34" s="1">
        <v>7200</v>
      </c>
      <c r="Q34" s="1">
        <v>17336</v>
      </c>
      <c r="AJ34" s="2">
        <v>45148</v>
      </c>
    </row>
    <row r="35" spans="1:37">
      <c r="A35" s="1" t="str">
        <f>"Z843C47CC9"</f>
        <v>Z843C47CC9</v>
      </c>
      <c r="B35" s="1" t="str">
        <f t="shared" si="0"/>
        <v>02406911202</v>
      </c>
      <c r="C35" s="1" t="s">
        <v>13</v>
      </c>
      <c r="D35" s="1" t="s">
        <v>40</v>
      </c>
      <c r="E35" s="1" t="s">
        <v>82</v>
      </c>
      <c r="F35" s="1" t="s">
        <v>39</v>
      </c>
      <c r="G35" s="1" t="str">
        <f>"11271521004"</f>
        <v>11271521004</v>
      </c>
      <c r="I35" s="1" t="s">
        <v>93</v>
      </c>
      <c r="L35" s="1" t="s">
        <v>43</v>
      </c>
      <c r="M35" s="1">
        <v>23940</v>
      </c>
      <c r="N35" s="1">
        <v>2625</v>
      </c>
      <c r="O35" s="1">
        <v>21000</v>
      </c>
      <c r="P35" s="1">
        <v>105</v>
      </c>
      <c r="Q35" s="1">
        <v>210</v>
      </c>
      <c r="AJ35" s="2">
        <v>45167</v>
      </c>
    </row>
    <row r="36" spans="1:37">
      <c r="A36" s="1" t="str">
        <f>"Z3C3C47CFD"</f>
        <v>Z3C3C47CFD</v>
      </c>
      <c r="B36" s="1" t="str">
        <f t="shared" si="0"/>
        <v>02406911202</v>
      </c>
      <c r="C36" s="1" t="s">
        <v>13</v>
      </c>
      <c r="D36" s="1" t="s">
        <v>40</v>
      </c>
      <c r="E36" s="1" t="s">
        <v>82</v>
      </c>
      <c r="F36" s="1" t="s">
        <v>39</v>
      </c>
      <c r="G36" s="1" t="str">
        <f>"00422760587"</f>
        <v>00422760587</v>
      </c>
      <c r="I36" s="1" t="s">
        <v>94</v>
      </c>
      <c r="L36" s="1" t="s">
        <v>43</v>
      </c>
      <c r="M36" s="1">
        <v>579596.5</v>
      </c>
      <c r="N36" s="1">
        <v>406849.4</v>
      </c>
      <c r="O36" s="1">
        <v>116086.26</v>
      </c>
      <c r="Q36" s="1">
        <v>56660.84</v>
      </c>
      <c r="AJ36" s="2">
        <v>45167</v>
      </c>
    </row>
    <row r="37" spans="1:37">
      <c r="A37" s="1" t="str">
        <f>"A0046A5D06"</f>
        <v>A0046A5D06</v>
      </c>
      <c r="B37" s="1" t="str">
        <f t="shared" si="0"/>
        <v>02406911202</v>
      </c>
      <c r="C37" s="1" t="s">
        <v>13</v>
      </c>
      <c r="D37" s="1" t="s">
        <v>40</v>
      </c>
      <c r="E37" s="1" t="s">
        <v>86</v>
      </c>
      <c r="F37" s="1" t="s">
        <v>39</v>
      </c>
      <c r="G37" s="1" t="str">
        <f>"00874760408"</f>
        <v>00874760408</v>
      </c>
      <c r="I37" s="1" t="s">
        <v>95</v>
      </c>
      <c r="L37" s="1" t="s">
        <v>43</v>
      </c>
      <c r="M37" s="1">
        <v>13934.42</v>
      </c>
      <c r="N37" s="1">
        <v>8196.7199999999993</v>
      </c>
      <c r="O37" s="1">
        <v>4098.3599999999997</v>
      </c>
      <c r="Q37" s="1">
        <v>1639.34</v>
      </c>
      <c r="AJ37" s="2">
        <v>45148</v>
      </c>
    </row>
    <row r="38" spans="1:37">
      <c r="A38" s="1" t="str">
        <f>"ZD23C47D38"</f>
        <v>ZD23C47D38</v>
      </c>
      <c r="B38" s="1" t="str">
        <f t="shared" si="0"/>
        <v>02406911202</v>
      </c>
      <c r="C38" s="1" t="s">
        <v>13</v>
      </c>
      <c r="D38" s="1" t="s">
        <v>40</v>
      </c>
      <c r="E38" s="1" t="s">
        <v>82</v>
      </c>
      <c r="F38" s="1" t="s">
        <v>39</v>
      </c>
      <c r="G38" s="1" t="str">
        <f>"11116290153"</f>
        <v>11116290153</v>
      </c>
      <c r="I38" s="1" t="s">
        <v>96</v>
      </c>
      <c r="L38" s="1" t="s">
        <v>43</v>
      </c>
      <c r="M38" s="1">
        <v>16564</v>
      </c>
      <c r="N38" s="1">
        <v>8080</v>
      </c>
      <c r="O38" s="1">
        <v>2828</v>
      </c>
      <c r="P38" s="1">
        <v>4040</v>
      </c>
      <c r="Q38" s="1">
        <v>1616</v>
      </c>
      <c r="AJ38" s="2">
        <v>45167</v>
      </c>
    </row>
    <row r="39" spans="1:37">
      <c r="A39" s="1" t="str">
        <f>"A0088A75B4"</f>
        <v>A0088A75B4</v>
      </c>
      <c r="B39" s="1" t="str">
        <f t="shared" si="0"/>
        <v>02406911202</v>
      </c>
      <c r="C39" s="1" t="s">
        <v>13</v>
      </c>
      <c r="D39" s="1" t="s">
        <v>40</v>
      </c>
      <c r="E39" s="1" t="s">
        <v>82</v>
      </c>
      <c r="F39" s="1" t="s">
        <v>39</v>
      </c>
      <c r="G39" s="1" t="str">
        <f>"02774840595"</f>
        <v>02774840595</v>
      </c>
      <c r="I39" s="1" t="s">
        <v>97</v>
      </c>
      <c r="L39" s="1" t="s">
        <v>43</v>
      </c>
      <c r="M39" s="1">
        <v>86604.1</v>
      </c>
      <c r="N39" s="1">
        <v>12977.2</v>
      </c>
      <c r="O39" s="1">
        <v>40208.400000000001</v>
      </c>
      <c r="P39" s="1">
        <v>3274.92</v>
      </c>
      <c r="Q39" s="1">
        <v>30143.58</v>
      </c>
      <c r="AJ39" s="2">
        <v>45167</v>
      </c>
    </row>
    <row r="40" spans="1:37">
      <c r="A40" s="1" t="str">
        <f>"ZCF3C47D64"</f>
        <v>ZCF3C47D64</v>
      </c>
      <c r="B40" s="1" t="str">
        <f t="shared" si="0"/>
        <v>02406911202</v>
      </c>
      <c r="C40" s="1" t="s">
        <v>13</v>
      </c>
      <c r="D40" s="1" t="s">
        <v>40</v>
      </c>
      <c r="E40" s="1" t="s">
        <v>82</v>
      </c>
      <c r="F40" s="1" t="s">
        <v>39</v>
      </c>
      <c r="G40" s="1" t="str">
        <f>"00226250165"</f>
        <v>00226250165</v>
      </c>
      <c r="I40" s="1" t="s">
        <v>98</v>
      </c>
      <c r="L40" s="1" t="s">
        <v>43</v>
      </c>
      <c r="M40" s="1">
        <v>3134.18</v>
      </c>
      <c r="N40" s="1">
        <v>1621.13</v>
      </c>
      <c r="O40" s="1">
        <v>1296.9000000000001</v>
      </c>
      <c r="Q40" s="1">
        <v>216.15</v>
      </c>
      <c r="AJ40" s="2">
        <v>45167</v>
      </c>
    </row>
    <row r="41" spans="1:37">
      <c r="A41" s="1" t="str">
        <f>"Z043C47D95"</f>
        <v>Z043C47D95</v>
      </c>
      <c r="B41" s="1" t="str">
        <f t="shared" si="0"/>
        <v>02406911202</v>
      </c>
      <c r="C41" s="1" t="s">
        <v>13</v>
      </c>
      <c r="D41" s="1" t="s">
        <v>40</v>
      </c>
      <c r="E41" s="1" t="s">
        <v>82</v>
      </c>
      <c r="F41" s="1" t="s">
        <v>39</v>
      </c>
      <c r="G41" s="1" t="str">
        <f>"09098120158"</f>
        <v>09098120158</v>
      </c>
      <c r="I41" s="1" t="s">
        <v>99</v>
      </c>
      <c r="L41" s="1" t="s">
        <v>100</v>
      </c>
      <c r="AJ41" s="2">
        <v>45167</v>
      </c>
    </row>
    <row r="42" spans="1:37">
      <c r="A42" s="1" t="str">
        <f>"Z673C47DCB"</f>
        <v>Z673C47DCB</v>
      </c>
      <c r="B42" s="1" t="str">
        <f t="shared" si="0"/>
        <v>02406911202</v>
      </c>
      <c r="C42" s="1" t="s">
        <v>13</v>
      </c>
      <c r="D42" s="1" t="s">
        <v>40</v>
      </c>
      <c r="E42" s="1" t="s">
        <v>82</v>
      </c>
      <c r="F42" s="1" t="s">
        <v>39</v>
      </c>
      <c r="G42" s="1" t="str">
        <f>"10087630967"</f>
        <v>10087630967</v>
      </c>
      <c r="I42" s="1" t="s">
        <v>101</v>
      </c>
      <c r="L42" s="1" t="s">
        <v>43</v>
      </c>
      <c r="M42" s="1">
        <v>2836</v>
      </c>
      <c r="N42" s="1">
        <v>1772.5</v>
      </c>
      <c r="Q42" s="1">
        <v>1063.5</v>
      </c>
      <c r="AJ42" s="2">
        <v>45167</v>
      </c>
    </row>
    <row r="43" spans="1:37">
      <c r="A43" s="1" t="str">
        <f>"Z3C3C47DF8"</f>
        <v>Z3C3C47DF8</v>
      </c>
      <c r="B43" s="1" t="str">
        <f t="shared" si="0"/>
        <v>02406911202</v>
      </c>
      <c r="C43" s="1" t="s">
        <v>13</v>
      </c>
      <c r="D43" s="1" t="s">
        <v>40</v>
      </c>
      <c r="E43" s="1" t="s">
        <v>82</v>
      </c>
      <c r="F43" s="1" t="s">
        <v>39</v>
      </c>
      <c r="G43" s="1" t="str">
        <f>"08427210581"</f>
        <v>08427210581</v>
      </c>
      <c r="I43" s="1" t="s">
        <v>102</v>
      </c>
      <c r="L43" s="1" t="s">
        <v>43</v>
      </c>
      <c r="M43" s="1">
        <v>4110</v>
      </c>
      <c r="N43" s="1">
        <v>3825</v>
      </c>
      <c r="O43" s="1">
        <v>210</v>
      </c>
      <c r="Q43" s="1">
        <v>75</v>
      </c>
      <c r="AJ43" s="2">
        <v>45167</v>
      </c>
    </row>
    <row r="44" spans="1:37">
      <c r="A44" s="1" t="str">
        <f>"A00B3F2FAC"</f>
        <v>A00B3F2FAC</v>
      </c>
      <c r="B44" s="1" t="str">
        <f t="shared" si="0"/>
        <v>02406911202</v>
      </c>
      <c r="C44" s="1" t="s">
        <v>13</v>
      </c>
      <c r="D44" s="1" t="s">
        <v>40</v>
      </c>
      <c r="E44" s="1" t="s">
        <v>103</v>
      </c>
      <c r="F44" s="1" t="s">
        <v>39</v>
      </c>
      <c r="G44" s="1" t="str">
        <f>"00803890151"</f>
        <v>00803890151</v>
      </c>
      <c r="I44" s="1" t="s">
        <v>104</v>
      </c>
      <c r="L44" s="1" t="s">
        <v>43</v>
      </c>
      <c r="M44" s="1">
        <v>40200</v>
      </c>
      <c r="O44" s="1">
        <v>40200</v>
      </c>
      <c r="AJ44" s="2">
        <v>45174</v>
      </c>
      <c r="AK44" s="1" t="s">
        <v>105</v>
      </c>
    </row>
    <row r="45" spans="1:37">
      <c r="A45" s="1" t="str">
        <f>"A00CB038A4"</f>
        <v>A00CB038A4</v>
      </c>
      <c r="B45" s="1" t="str">
        <f t="shared" si="0"/>
        <v>02406911202</v>
      </c>
      <c r="C45" s="1" t="s">
        <v>13</v>
      </c>
      <c r="D45" s="1" t="s">
        <v>40</v>
      </c>
      <c r="E45" s="1" t="s">
        <v>106</v>
      </c>
      <c r="F45" s="1" t="s">
        <v>39</v>
      </c>
      <c r="G45" s="1" t="str">
        <f>"03748120155"</f>
        <v>03748120155</v>
      </c>
      <c r="I45" s="1" t="s">
        <v>107</v>
      </c>
      <c r="L45" s="1" t="s">
        <v>43</v>
      </c>
      <c r="M45" s="1">
        <v>62000</v>
      </c>
      <c r="N45" s="1">
        <v>15000</v>
      </c>
      <c r="O45" s="1">
        <v>47000</v>
      </c>
      <c r="AJ45" s="2">
        <v>45177</v>
      </c>
    </row>
    <row r="46" spans="1:37">
      <c r="A46" s="1" t="str">
        <f>"A00C83CDE6"</f>
        <v>A00C83CDE6</v>
      </c>
      <c r="B46" s="1" t="str">
        <f t="shared" si="0"/>
        <v>02406911202</v>
      </c>
      <c r="C46" s="1" t="s">
        <v>13</v>
      </c>
      <c r="D46" s="1" t="s">
        <v>40</v>
      </c>
      <c r="E46" s="1" t="s">
        <v>108</v>
      </c>
      <c r="F46" s="1" t="s">
        <v>39</v>
      </c>
      <c r="G46" s="1" t="str">
        <f>"01836081008"</f>
        <v>01836081008</v>
      </c>
      <c r="I46" s="1" t="s">
        <v>109</v>
      </c>
      <c r="L46" s="1" t="s">
        <v>43</v>
      </c>
      <c r="M46" s="1">
        <v>28333</v>
      </c>
      <c r="O46" s="1">
        <v>28333</v>
      </c>
      <c r="AJ46" s="2">
        <v>45176</v>
      </c>
    </row>
    <row r="47" spans="1:37">
      <c r="A47" s="1" t="str">
        <f>"A00CB648B0"</f>
        <v>A00CB648B0</v>
      </c>
      <c r="B47" s="1" t="str">
        <f t="shared" si="0"/>
        <v>02406911202</v>
      </c>
      <c r="C47" s="1" t="s">
        <v>13</v>
      </c>
      <c r="D47" s="1" t="s">
        <v>40</v>
      </c>
      <c r="E47" s="1" t="s">
        <v>110</v>
      </c>
      <c r="F47" s="1" t="s">
        <v>39</v>
      </c>
      <c r="G47" s="1" t="str">
        <f>"01140030360"</f>
        <v>01140030360</v>
      </c>
      <c r="I47" s="1" t="s">
        <v>111</v>
      </c>
      <c r="L47" s="1" t="s">
        <v>43</v>
      </c>
      <c r="M47" s="1">
        <v>40043.33</v>
      </c>
      <c r="N47" s="1">
        <v>3935.83</v>
      </c>
      <c r="O47" s="1">
        <v>22055.83</v>
      </c>
      <c r="R47" s="1">
        <v>736.67</v>
      </c>
      <c r="S47" s="1">
        <v>13315</v>
      </c>
      <c r="AJ47" s="2">
        <v>45177</v>
      </c>
    </row>
    <row r="48" spans="1:37">
      <c r="A48" s="1" t="str">
        <f>"A00CB6CF48"</f>
        <v>A00CB6CF48</v>
      </c>
      <c r="B48" s="1" t="str">
        <f t="shared" si="0"/>
        <v>02406911202</v>
      </c>
      <c r="C48" s="1" t="s">
        <v>13</v>
      </c>
      <c r="D48" s="1" t="s">
        <v>40</v>
      </c>
      <c r="E48" s="1" t="s">
        <v>110</v>
      </c>
      <c r="F48" s="1" t="s">
        <v>39</v>
      </c>
      <c r="G48" s="1" t="str">
        <f>"00674840152"</f>
        <v>00674840152</v>
      </c>
      <c r="I48" s="1" t="s">
        <v>87</v>
      </c>
      <c r="L48" s="1" t="s">
        <v>43</v>
      </c>
      <c r="M48" s="1">
        <v>2000</v>
      </c>
      <c r="N48" s="1">
        <v>2000</v>
      </c>
      <c r="AJ48" s="2">
        <v>45177</v>
      </c>
    </row>
    <row r="49" spans="1:36">
      <c r="A49" s="1" t="str">
        <f>"A00CB756B8"</f>
        <v>A00CB756B8</v>
      </c>
      <c r="B49" s="1" t="str">
        <f t="shared" si="0"/>
        <v>02406911202</v>
      </c>
      <c r="C49" s="1" t="s">
        <v>13</v>
      </c>
      <c r="D49" s="1" t="s">
        <v>40</v>
      </c>
      <c r="E49" s="1" t="s">
        <v>110</v>
      </c>
      <c r="F49" s="1" t="s">
        <v>39</v>
      </c>
      <c r="G49" s="1" t="str">
        <f>"09693591001"</f>
        <v>09693591001</v>
      </c>
      <c r="I49" s="1" t="s">
        <v>112</v>
      </c>
      <c r="L49" s="1" t="s">
        <v>43</v>
      </c>
      <c r="M49" s="1">
        <v>18983.330000000002</v>
      </c>
      <c r="N49" s="1">
        <v>3612.5</v>
      </c>
      <c r="O49" s="1">
        <v>9987.5</v>
      </c>
      <c r="S49" s="1">
        <v>5383.33</v>
      </c>
      <c r="AJ49" s="2">
        <v>45177</v>
      </c>
    </row>
    <row r="50" spans="1:36">
      <c r="A50" s="1" t="str">
        <f>"A00CB7EE23"</f>
        <v>A00CB7EE23</v>
      </c>
      <c r="B50" s="1" t="str">
        <f t="shared" si="0"/>
        <v>02406911202</v>
      </c>
      <c r="C50" s="1" t="s">
        <v>13</v>
      </c>
      <c r="D50" s="1" t="s">
        <v>40</v>
      </c>
      <c r="E50" s="1" t="s">
        <v>110</v>
      </c>
      <c r="F50" s="1" t="s">
        <v>39</v>
      </c>
      <c r="G50" s="1" t="str">
        <f>"07668030583"</f>
        <v>07668030583</v>
      </c>
      <c r="I50" s="1" t="s">
        <v>113</v>
      </c>
      <c r="L50" s="1" t="s">
        <v>43</v>
      </c>
      <c r="M50" s="1">
        <v>29641.66</v>
      </c>
      <c r="N50" s="1">
        <v>6708.33</v>
      </c>
      <c r="O50" s="1">
        <v>21604.17</v>
      </c>
      <c r="Q50" s="1">
        <v>945.83</v>
      </c>
      <c r="R50" s="1">
        <v>383.33</v>
      </c>
      <c r="AJ50" s="2">
        <v>45177</v>
      </c>
    </row>
    <row r="51" spans="1:36">
      <c r="A51" s="1" t="str">
        <f>"A00CB8431A"</f>
        <v>A00CB8431A</v>
      </c>
      <c r="B51" s="1" t="str">
        <f t="shared" si="0"/>
        <v>02406911202</v>
      </c>
      <c r="C51" s="1" t="s">
        <v>13</v>
      </c>
      <c r="D51" s="1" t="s">
        <v>40</v>
      </c>
      <c r="E51" s="1" t="s">
        <v>110</v>
      </c>
      <c r="F51" s="1" t="s">
        <v>39</v>
      </c>
      <c r="G51" s="1" t="str">
        <f>"01364640233"</f>
        <v>01364640233</v>
      </c>
      <c r="I51" s="1" t="s">
        <v>114</v>
      </c>
      <c r="L51" s="1" t="s">
        <v>43</v>
      </c>
      <c r="M51" s="1">
        <v>24247.5</v>
      </c>
      <c r="N51" s="1">
        <v>7818.33</v>
      </c>
      <c r="O51" s="1">
        <v>3540.42</v>
      </c>
      <c r="R51" s="1">
        <v>1274.58</v>
      </c>
      <c r="S51" s="1">
        <v>11614.17</v>
      </c>
      <c r="AJ51" s="2">
        <v>45177</v>
      </c>
    </row>
    <row r="52" spans="1:36">
      <c r="A52" s="1" t="str">
        <f>"9985539775"</f>
        <v>9985539775</v>
      </c>
      <c r="B52" s="1" t="str">
        <f t="shared" si="0"/>
        <v>02406911202</v>
      </c>
      <c r="C52" s="1" t="s">
        <v>13</v>
      </c>
      <c r="D52" s="1" t="s">
        <v>40</v>
      </c>
      <c r="E52" s="1" t="s">
        <v>115</v>
      </c>
      <c r="F52" s="1" t="s">
        <v>39</v>
      </c>
      <c r="G52" s="1" t="str">
        <f>"00654080076"</f>
        <v>00654080076</v>
      </c>
      <c r="I52" s="1" t="s">
        <v>116</v>
      </c>
      <c r="L52" s="1" t="s">
        <v>43</v>
      </c>
      <c r="M52" s="1">
        <v>365802</v>
      </c>
      <c r="N52" s="1">
        <v>286095</v>
      </c>
      <c r="O52" s="1">
        <v>64209</v>
      </c>
      <c r="P52" s="1">
        <v>15498</v>
      </c>
      <c r="AJ52" s="2">
        <v>45134</v>
      </c>
    </row>
    <row r="53" spans="1:36">
      <c r="A53" s="1" t="str">
        <f>"9985574458"</f>
        <v>9985574458</v>
      </c>
      <c r="B53" s="1" t="str">
        <f t="shared" si="0"/>
        <v>02406911202</v>
      </c>
      <c r="C53" s="1" t="s">
        <v>13</v>
      </c>
      <c r="D53" s="1" t="s">
        <v>40</v>
      </c>
      <c r="E53" s="1" t="s">
        <v>117</v>
      </c>
      <c r="F53" s="1" t="s">
        <v>39</v>
      </c>
      <c r="G53" s="1" t="str">
        <f>"00463980383"</f>
        <v>00463980383</v>
      </c>
      <c r="I53" s="1" t="s">
        <v>118</v>
      </c>
      <c r="L53" s="1" t="s">
        <v>43</v>
      </c>
      <c r="M53" s="1">
        <v>155127.47</v>
      </c>
      <c r="R53" s="1">
        <v>83762.3</v>
      </c>
      <c r="S53" s="1">
        <v>71365.17</v>
      </c>
      <c r="AJ53" s="2">
        <v>45134</v>
      </c>
    </row>
    <row r="54" spans="1:36">
      <c r="A54" s="1" t="str">
        <f>"A00D1997F9"</f>
        <v>A00D1997F9</v>
      </c>
      <c r="B54" s="1" t="str">
        <f t="shared" si="0"/>
        <v>02406911202</v>
      </c>
      <c r="C54" s="1" t="s">
        <v>13</v>
      </c>
      <c r="D54" s="1" t="s">
        <v>40</v>
      </c>
      <c r="E54" s="1" t="s">
        <v>119</v>
      </c>
      <c r="F54" s="1" t="s">
        <v>39</v>
      </c>
      <c r="G54" s="1" t="str">
        <f>"11264670156"</f>
        <v>11264670156</v>
      </c>
      <c r="I54" s="1" t="s">
        <v>66</v>
      </c>
      <c r="L54" s="1" t="s">
        <v>43</v>
      </c>
      <c r="M54" s="1">
        <v>13432.73</v>
      </c>
      <c r="N54" s="1">
        <v>433.31</v>
      </c>
      <c r="O54" s="1">
        <v>12999.42</v>
      </c>
      <c r="AJ54" s="2">
        <v>45177</v>
      </c>
    </row>
    <row r="55" spans="1:36">
      <c r="A55" s="1" t="str">
        <f>"A00D1AE94D"</f>
        <v>A00D1AE94D</v>
      </c>
      <c r="B55" s="1" t="str">
        <f t="shared" si="0"/>
        <v>02406911202</v>
      </c>
      <c r="C55" s="1" t="s">
        <v>13</v>
      </c>
      <c r="D55" s="1" t="s">
        <v>40</v>
      </c>
      <c r="E55" s="1" t="s">
        <v>119</v>
      </c>
      <c r="F55" s="1" t="s">
        <v>39</v>
      </c>
      <c r="G55" s="1" t="str">
        <f>"00803890151"</f>
        <v>00803890151</v>
      </c>
      <c r="I55" s="1" t="s">
        <v>104</v>
      </c>
      <c r="L55" s="1" t="s">
        <v>43</v>
      </c>
      <c r="M55" s="1">
        <v>119011.2</v>
      </c>
      <c r="N55" s="1">
        <v>19835.2</v>
      </c>
      <c r="O55" s="1">
        <v>99176</v>
      </c>
      <c r="AJ55" s="2">
        <v>45177</v>
      </c>
    </row>
    <row r="56" spans="1:36">
      <c r="A56" s="1" t="str">
        <f>"A00D1C3AA1"</f>
        <v>A00D1C3AA1</v>
      </c>
      <c r="B56" s="1" t="str">
        <f t="shared" si="0"/>
        <v>02406911202</v>
      </c>
      <c r="C56" s="1" t="s">
        <v>13</v>
      </c>
      <c r="D56" s="1" t="s">
        <v>40</v>
      </c>
      <c r="E56" s="1" t="s">
        <v>119</v>
      </c>
      <c r="F56" s="1" t="s">
        <v>39</v>
      </c>
      <c r="G56" s="1" t="str">
        <f>"07123400157"</f>
        <v>07123400157</v>
      </c>
      <c r="I56" s="1" t="s">
        <v>120</v>
      </c>
      <c r="L56" s="1" t="s">
        <v>43</v>
      </c>
      <c r="M56" s="1">
        <v>37400</v>
      </c>
      <c r="N56" s="1">
        <v>1700</v>
      </c>
      <c r="O56" s="1">
        <v>35700</v>
      </c>
      <c r="AJ56" s="2">
        <v>45177</v>
      </c>
    </row>
    <row r="57" spans="1:36">
      <c r="A57" s="1" t="str">
        <f>"A00D1CE3B7"</f>
        <v>A00D1CE3B7</v>
      </c>
      <c r="B57" s="1" t="str">
        <f t="shared" si="0"/>
        <v>02406911202</v>
      </c>
      <c r="C57" s="1" t="s">
        <v>13</v>
      </c>
      <c r="D57" s="1" t="s">
        <v>40</v>
      </c>
      <c r="E57" s="1" t="s">
        <v>119</v>
      </c>
      <c r="F57" s="1" t="s">
        <v>39</v>
      </c>
      <c r="G57" s="1" t="str">
        <f>"01736720994"</f>
        <v>01736720994</v>
      </c>
      <c r="I57" s="1" t="s">
        <v>121</v>
      </c>
      <c r="L57" s="1" t="s">
        <v>43</v>
      </c>
      <c r="M57" s="1">
        <v>4900</v>
      </c>
      <c r="N57" s="1">
        <v>1400</v>
      </c>
      <c r="O57" s="1">
        <v>3500</v>
      </c>
      <c r="AJ57" s="2">
        <v>45177</v>
      </c>
    </row>
    <row r="58" spans="1:36">
      <c r="A58" s="1" t="str">
        <f>"A00D1DCF41"</f>
        <v>A00D1DCF41</v>
      </c>
      <c r="B58" s="1" t="str">
        <f t="shared" si="0"/>
        <v>02406911202</v>
      </c>
      <c r="C58" s="1" t="s">
        <v>13</v>
      </c>
      <c r="D58" s="1" t="s">
        <v>40</v>
      </c>
      <c r="E58" s="1" t="s">
        <v>119</v>
      </c>
      <c r="F58" s="1" t="s">
        <v>39</v>
      </c>
      <c r="G58" s="1" t="str">
        <f>"03992220966"</f>
        <v>03992220966</v>
      </c>
      <c r="I58" s="1" t="s">
        <v>122</v>
      </c>
      <c r="L58" s="1" t="s">
        <v>43</v>
      </c>
      <c r="M58" s="1">
        <v>216150</v>
      </c>
      <c r="N58" s="1">
        <v>9900</v>
      </c>
      <c r="O58" s="1">
        <v>206250</v>
      </c>
      <c r="AJ58" s="2">
        <v>45177</v>
      </c>
    </row>
    <row r="59" spans="1:36">
      <c r="A59" s="1" t="str">
        <f>"A00D1EEE1C"</f>
        <v>A00D1EEE1C</v>
      </c>
      <c r="B59" s="1" t="str">
        <f t="shared" si="0"/>
        <v>02406911202</v>
      </c>
      <c r="C59" s="1" t="s">
        <v>13</v>
      </c>
      <c r="D59" s="1" t="s">
        <v>40</v>
      </c>
      <c r="E59" s="1" t="s">
        <v>119</v>
      </c>
      <c r="F59" s="1" t="s">
        <v>39</v>
      </c>
      <c r="G59" s="1" t="str">
        <f>"09238800156"</f>
        <v>09238800156</v>
      </c>
      <c r="I59" s="1" t="s">
        <v>92</v>
      </c>
      <c r="L59" s="1" t="s">
        <v>43</v>
      </c>
      <c r="M59" s="1">
        <v>37755</v>
      </c>
      <c r="N59" s="1">
        <v>9730</v>
      </c>
      <c r="O59" s="1">
        <v>28025</v>
      </c>
      <c r="AJ59" s="2">
        <v>45177</v>
      </c>
    </row>
    <row r="60" spans="1:36">
      <c r="A60" s="1" t="str">
        <f>"A00DA5907D"</f>
        <v>A00DA5907D</v>
      </c>
      <c r="B60" s="1" t="str">
        <f t="shared" si="0"/>
        <v>02406911202</v>
      </c>
      <c r="C60" s="1" t="s">
        <v>13</v>
      </c>
      <c r="D60" s="1" t="s">
        <v>40</v>
      </c>
      <c r="E60" s="1" t="s">
        <v>123</v>
      </c>
      <c r="F60" s="1" t="s">
        <v>39</v>
      </c>
      <c r="G60" s="1" t="str">
        <f>"01681100150"</f>
        <v>01681100150</v>
      </c>
      <c r="I60" s="1" t="s">
        <v>124</v>
      </c>
      <c r="L60" s="1" t="s">
        <v>43</v>
      </c>
      <c r="M60" s="1">
        <v>36280</v>
      </c>
      <c r="N60" s="1">
        <v>2830</v>
      </c>
      <c r="O60" s="1">
        <v>33450</v>
      </c>
      <c r="AJ60" s="2">
        <v>45177</v>
      </c>
    </row>
    <row r="61" spans="1:36">
      <c r="A61" s="1" t="str">
        <f>"A00DA6AE80"</f>
        <v>A00DA6AE80</v>
      </c>
      <c r="B61" s="1" t="str">
        <f t="shared" si="0"/>
        <v>02406911202</v>
      </c>
      <c r="C61" s="1" t="s">
        <v>13</v>
      </c>
      <c r="D61" s="1" t="s">
        <v>40</v>
      </c>
      <c r="E61" s="1" t="s">
        <v>119</v>
      </c>
      <c r="F61" s="1" t="s">
        <v>39</v>
      </c>
      <c r="G61" s="1" t="str">
        <f>"07279701002"</f>
        <v>07279701002</v>
      </c>
      <c r="I61" s="1" t="s">
        <v>125</v>
      </c>
      <c r="L61" s="1" t="s">
        <v>43</v>
      </c>
      <c r="M61" s="1">
        <v>21863.23</v>
      </c>
      <c r="O61" s="1">
        <v>21863.23</v>
      </c>
      <c r="AJ61" s="2">
        <v>45177</v>
      </c>
    </row>
    <row r="62" spans="1:36">
      <c r="A62" s="1" t="str">
        <f>"A00164C735"</f>
        <v>A00164C735</v>
      </c>
      <c r="B62" s="1" t="str">
        <f t="shared" si="0"/>
        <v>02406911202</v>
      </c>
      <c r="C62" s="1" t="s">
        <v>13</v>
      </c>
      <c r="D62" s="1" t="s">
        <v>40</v>
      </c>
      <c r="E62" s="1" t="s">
        <v>126</v>
      </c>
      <c r="F62" s="1" t="s">
        <v>39</v>
      </c>
      <c r="G62" s="1" t="str">
        <f>"11575580151"</f>
        <v>11575580151</v>
      </c>
      <c r="I62" s="1" t="s">
        <v>127</v>
      </c>
      <c r="L62" s="1" t="s">
        <v>43</v>
      </c>
      <c r="M62" s="1">
        <v>1309545</v>
      </c>
      <c r="N62" s="1">
        <v>1014255</v>
      </c>
      <c r="Q62" s="1">
        <v>295290</v>
      </c>
      <c r="AJ62" s="2">
        <v>45175</v>
      </c>
    </row>
    <row r="63" spans="1:36">
      <c r="A63" s="1" t="str">
        <f>"A00FAB657B"</f>
        <v>A00FAB657B</v>
      </c>
      <c r="B63" s="1" t="str">
        <f t="shared" si="0"/>
        <v>02406911202</v>
      </c>
      <c r="C63" s="1" t="s">
        <v>13</v>
      </c>
      <c r="D63" s="1" t="s">
        <v>40</v>
      </c>
      <c r="E63" s="1" t="s">
        <v>128</v>
      </c>
      <c r="F63" s="1" t="s">
        <v>39</v>
      </c>
      <c r="G63" s="1" t="str">
        <f>"80063930376"</f>
        <v>80063930376</v>
      </c>
      <c r="I63" s="1" t="s">
        <v>129</v>
      </c>
      <c r="L63" s="1" t="s">
        <v>43</v>
      </c>
      <c r="M63" s="1">
        <v>498260.06</v>
      </c>
      <c r="N63" s="1">
        <v>498260.06</v>
      </c>
      <c r="AJ63" s="2">
        <v>45188</v>
      </c>
    </row>
    <row r="64" spans="1:36">
      <c r="A64" s="1" t="str">
        <f>"A0105DB7D9"</f>
        <v>A0105DB7D9</v>
      </c>
      <c r="B64" s="1" t="str">
        <f t="shared" si="0"/>
        <v>02406911202</v>
      </c>
      <c r="C64" s="1" t="s">
        <v>13</v>
      </c>
      <c r="D64" s="1" t="s">
        <v>40</v>
      </c>
      <c r="E64" s="1" t="s">
        <v>130</v>
      </c>
      <c r="F64" s="1" t="s">
        <v>39</v>
      </c>
      <c r="G64" s="1" t="str">
        <f>"80063930376"</f>
        <v>80063930376</v>
      </c>
      <c r="I64" s="1" t="s">
        <v>129</v>
      </c>
      <c r="L64" s="1" t="s">
        <v>43</v>
      </c>
      <c r="M64" s="1">
        <v>418023.94</v>
      </c>
      <c r="N64" s="1">
        <v>368123.9</v>
      </c>
      <c r="Q64" s="1">
        <v>49900.04</v>
      </c>
      <c r="AJ64" s="2">
        <v>45188</v>
      </c>
    </row>
    <row r="65" spans="1:36">
      <c r="A65" s="1" t="str">
        <f>"A00DD10E01"</f>
        <v>A00DD10E01</v>
      </c>
      <c r="B65" s="1" t="str">
        <f t="shared" si="0"/>
        <v>02406911202</v>
      </c>
      <c r="C65" s="1" t="s">
        <v>13</v>
      </c>
      <c r="D65" s="1" t="s">
        <v>40</v>
      </c>
      <c r="E65" s="1" t="s">
        <v>131</v>
      </c>
      <c r="F65" s="1" t="s">
        <v>132</v>
      </c>
      <c r="G65" s="1" t="str">
        <f>"00794290676"</f>
        <v>00794290676</v>
      </c>
      <c r="I65" s="1" t="s">
        <v>133</v>
      </c>
      <c r="L65" s="1" t="s">
        <v>43</v>
      </c>
      <c r="M65" s="1">
        <v>199310</v>
      </c>
      <c r="N65" s="1">
        <v>89310</v>
      </c>
      <c r="O65" s="1">
        <v>110000</v>
      </c>
      <c r="AJ65" s="2">
        <v>45183</v>
      </c>
    </row>
    <row r="66" spans="1:36">
      <c r="A66" s="1" t="str">
        <f>"A00D2D2A44"</f>
        <v>A00D2D2A44</v>
      </c>
      <c r="B66" s="1" t="str">
        <f t="shared" ref="B66:B129" si="1">"02406911202"</f>
        <v>02406911202</v>
      </c>
      <c r="C66" s="1" t="s">
        <v>13</v>
      </c>
      <c r="D66" s="1" t="s">
        <v>40</v>
      </c>
      <c r="E66" s="1" t="s">
        <v>134</v>
      </c>
      <c r="F66" s="1" t="s">
        <v>132</v>
      </c>
      <c r="G66" s="1" t="str">
        <f>"03960230377"</f>
        <v>03960230377</v>
      </c>
      <c r="I66" s="1" t="s">
        <v>135</v>
      </c>
      <c r="L66" s="1" t="s">
        <v>43</v>
      </c>
      <c r="M66" s="1">
        <v>47161</v>
      </c>
      <c r="N66" s="1">
        <v>14000</v>
      </c>
      <c r="O66" s="1">
        <v>18000</v>
      </c>
      <c r="P66" s="1">
        <v>12500</v>
      </c>
      <c r="Q66" s="1">
        <v>2661</v>
      </c>
      <c r="AJ66" s="2">
        <v>45184</v>
      </c>
    </row>
    <row r="67" spans="1:36">
      <c r="A67" s="1" t="str">
        <f>"99402287A3"</f>
        <v>99402287A3</v>
      </c>
      <c r="B67" s="1" t="str">
        <f t="shared" si="1"/>
        <v>02406911202</v>
      </c>
      <c r="C67" s="1" t="s">
        <v>13</v>
      </c>
      <c r="D67" s="1" t="s">
        <v>40</v>
      </c>
      <c r="E67" s="1" t="s">
        <v>136</v>
      </c>
      <c r="F67" s="1" t="s">
        <v>39</v>
      </c>
      <c r="G67" s="1" t="str">
        <f>"00615530672"</f>
        <v>00615530672</v>
      </c>
      <c r="I67" s="1" t="s">
        <v>137</v>
      </c>
      <c r="J67" s="1" t="s">
        <v>138</v>
      </c>
      <c r="K67" s="1" t="s">
        <v>139</v>
      </c>
      <c r="AJ67" s="2">
        <v>45111</v>
      </c>
    </row>
    <row r="68" spans="1:36">
      <c r="A68" s="1" t="str">
        <f>"99402287A3"</f>
        <v>99402287A3</v>
      </c>
      <c r="B68" s="1" t="str">
        <f t="shared" si="1"/>
        <v>02406911202</v>
      </c>
      <c r="C68" s="1" t="s">
        <v>13</v>
      </c>
      <c r="D68" s="1" t="s">
        <v>40</v>
      </c>
      <c r="E68" s="1" t="s">
        <v>136</v>
      </c>
      <c r="F68" s="1" t="s">
        <v>39</v>
      </c>
      <c r="G68" s="1" t="str">
        <f>"07605800965"</f>
        <v>07605800965</v>
      </c>
      <c r="I68" s="1" t="s">
        <v>140</v>
      </c>
      <c r="J68" s="1" t="s">
        <v>138</v>
      </c>
      <c r="K68" s="1" t="s">
        <v>141</v>
      </c>
      <c r="AJ68" s="2">
        <v>45111</v>
      </c>
    </row>
    <row r="69" spans="1:36">
      <c r="A69" s="1" t="str">
        <f>"99402287A3"</f>
        <v>99402287A3</v>
      </c>
      <c r="B69" s="1" t="str">
        <f t="shared" si="1"/>
        <v>02406911202</v>
      </c>
      <c r="C69" s="1" t="s">
        <v>13</v>
      </c>
      <c r="D69" s="1" t="s">
        <v>40</v>
      </c>
      <c r="E69" s="1" t="s">
        <v>136</v>
      </c>
      <c r="F69" s="1" t="s">
        <v>39</v>
      </c>
      <c r="I69" s="1" t="s">
        <v>138</v>
      </c>
      <c r="L69" s="1" t="s">
        <v>43</v>
      </c>
      <c r="M69" s="1">
        <v>959985</v>
      </c>
      <c r="O69" s="1">
        <v>959985</v>
      </c>
      <c r="AJ69" s="2">
        <v>45111</v>
      </c>
    </row>
    <row r="70" spans="1:36">
      <c r="A70" s="1" t="str">
        <f>"A014081DC9"</f>
        <v>A014081DC9</v>
      </c>
      <c r="B70" s="1" t="str">
        <f t="shared" si="1"/>
        <v>02406911202</v>
      </c>
      <c r="C70" s="1" t="s">
        <v>13</v>
      </c>
      <c r="D70" s="1" t="s">
        <v>40</v>
      </c>
      <c r="E70" s="1" t="s">
        <v>142</v>
      </c>
      <c r="F70" s="1" t="s">
        <v>39</v>
      </c>
      <c r="G70" s="1" t="str">
        <f>"07195130153"</f>
        <v>07195130153</v>
      </c>
      <c r="I70" s="1" t="s">
        <v>143</v>
      </c>
      <c r="L70" s="1" t="s">
        <v>43</v>
      </c>
      <c r="M70" s="1">
        <v>562304.75</v>
      </c>
      <c r="N70" s="1">
        <v>199930.58</v>
      </c>
      <c r="O70" s="1">
        <v>258243.66</v>
      </c>
      <c r="Q70" s="1">
        <v>104130.51</v>
      </c>
      <c r="AJ70" s="2">
        <v>45194</v>
      </c>
    </row>
    <row r="71" spans="1:36">
      <c r="A71" s="1" t="str">
        <f>"A0140BCE79"</f>
        <v>A0140BCE79</v>
      </c>
      <c r="B71" s="1" t="str">
        <f t="shared" si="1"/>
        <v>02406911202</v>
      </c>
      <c r="C71" s="1" t="s">
        <v>13</v>
      </c>
      <c r="D71" s="1" t="s">
        <v>40</v>
      </c>
      <c r="E71" s="1" t="s">
        <v>144</v>
      </c>
      <c r="F71" s="1" t="s">
        <v>39</v>
      </c>
      <c r="G71" s="1" t="str">
        <f>"00399800580"</f>
        <v>00399800580</v>
      </c>
      <c r="I71" s="1" t="s">
        <v>145</v>
      </c>
      <c r="L71" s="1" t="s">
        <v>43</v>
      </c>
      <c r="M71" s="1">
        <v>220758.25</v>
      </c>
      <c r="N71" s="1">
        <v>99966</v>
      </c>
      <c r="O71" s="1">
        <v>58313.5</v>
      </c>
      <c r="Q71" s="1">
        <v>62478.75</v>
      </c>
      <c r="AJ71" s="2">
        <v>45194</v>
      </c>
    </row>
    <row r="72" spans="1:36">
      <c r="A72" s="1" t="str">
        <f>"A011AC16CF"</f>
        <v>A011AC16CF</v>
      </c>
      <c r="B72" s="1" t="str">
        <f t="shared" si="1"/>
        <v>02406911202</v>
      </c>
      <c r="C72" s="1" t="s">
        <v>13</v>
      </c>
      <c r="D72" s="1" t="s">
        <v>40</v>
      </c>
      <c r="E72" s="1" t="s">
        <v>146</v>
      </c>
      <c r="F72" s="1" t="s">
        <v>39</v>
      </c>
      <c r="G72" s="1" t="str">
        <f>"08862820969"</f>
        <v>08862820969</v>
      </c>
      <c r="I72" s="1" t="s">
        <v>147</v>
      </c>
      <c r="L72" s="1" t="s">
        <v>43</v>
      </c>
      <c r="M72" s="1">
        <v>258877</v>
      </c>
      <c r="N72" s="1">
        <v>56142</v>
      </c>
      <c r="O72" s="1">
        <v>202735</v>
      </c>
      <c r="AJ72" s="2">
        <v>45188</v>
      </c>
    </row>
    <row r="73" spans="1:36">
      <c r="A73" s="1" t="str">
        <f>"9901249128"</f>
        <v>9901249128</v>
      </c>
      <c r="B73" s="1" t="str">
        <f t="shared" si="1"/>
        <v>02406911202</v>
      </c>
      <c r="C73" s="1" t="s">
        <v>13</v>
      </c>
      <c r="D73" s="1" t="s">
        <v>40</v>
      </c>
      <c r="E73" s="1" t="s">
        <v>148</v>
      </c>
      <c r="F73" s="1" t="s">
        <v>39</v>
      </c>
      <c r="G73" s="1" t="str">
        <f>"02109510368"</f>
        <v>02109510368</v>
      </c>
      <c r="I73" s="1" t="s">
        <v>149</v>
      </c>
      <c r="L73" s="1" t="s">
        <v>43</v>
      </c>
      <c r="M73" s="1">
        <v>73959</v>
      </c>
      <c r="O73" s="1">
        <v>73959</v>
      </c>
      <c r="AJ73" s="2">
        <v>45131</v>
      </c>
    </row>
    <row r="74" spans="1:36">
      <c r="A74" s="1" t="str">
        <f>"9735470BFC"</f>
        <v>9735470BFC</v>
      </c>
      <c r="B74" s="1" t="str">
        <f t="shared" si="1"/>
        <v>02406911202</v>
      </c>
      <c r="C74" s="1" t="s">
        <v>13</v>
      </c>
      <c r="D74" s="1" t="s">
        <v>37</v>
      </c>
      <c r="E74" s="1" t="s">
        <v>150</v>
      </c>
      <c r="F74" s="1" t="s">
        <v>151</v>
      </c>
      <c r="G74" s="1" t="str">
        <f>"00764990370"</f>
        <v>00764990370</v>
      </c>
      <c r="I74" s="1" t="s">
        <v>152</v>
      </c>
      <c r="J74" s="1" t="s">
        <v>153</v>
      </c>
      <c r="K74" s="1" t="s">
        <v>139</v>
      </c>
      <c r="AJ74" s="2">
        <v>45131</v>
      </c>
    </row>
    <row r="75" spans="1:36">
      <c r="A75" s="1" t="str">
        <f>"9735470BFC"</f>
        <v>9735470BFC</v>
      </c>
      <c r="B75" s="1" t="str">
        <f t="shared" si="1"/>
        <v>02406911202</v>
      </c>
      <c r="C75" s="1" t="s">
        <v>13</v>
      </c>
      <c r="D75" s="1" t="s">
        <v>37</v>
      </c>
      <c r="E75" s="1" t="s">
        <v>150</v>
      </c>
      <c r="F75" s="1" t="s">
        <v>151</v>
      </c>
      <c r="G75" s="1" t="str">
        <f>"02096661208"</f>
        <v>02096661208</v>
      </c>
      <c r="I75" s="1" t="s">
        <v>154</v>
      </c>
      <c r="J75" s="1" t="s">
        <v>153</v>
      </c>
      <c r="K75" s="1" t="s">
        <v>141</v>
      </c>
      <c r="AJ75" s="2">
        <v>45131</v>
      </c>
    </row>
    <row r="76" spans="1:36">
      <c r="A76" s="1" t="str">
        <f>"9735470BFC"</f>
        <v>9735470BFC</v>
      </c>
      <c r="B76" s="1" t="str">
        <f t="shared" si="1"/>
        <v>02406911202</v>
      </c>
      <c r="C76" s="1" t="s">
        <v>13</v>
      </c>
      <c r="D76" s="1" t="s">
        <v>37</v>
      </c>
      <c r="E76" s="1" t="s">
        <v>150</v>
      </c>
      <c r="F76" s="1" t="s">
        <v>151</v>
      </c>
      <c r="I76" s="1" t="s">
        <v>153</v>
      </c>
      <c r="L76" s="1" t="s">
        <v>43</v>
      </c>
      <c r="M76" s="1">
        <v>145647.04000000001</v>
      </c>
      <c r="AG76" s="1">
        <v>0</v>
      </c>
      <c r="AH76" s="2">
        <v>45134</v>
      </c>
      <c r="AI76" s="2">
        <v>45374</v>
      </c>
      <c r="AJ76" s="2">
        <v>45131</v>
      </c>
    </row>
    <row r="77" spans="1:36">
      <c r="A77" s="1" t="str">
        <f>"9729805915"</f>
        <v>9729805915</v>
      </c>
      <c r="B77" s="1" t="str">
        <f t="shared" si="1"/>
        <v>02406911202</v>
      </c>
      <c r="C77" s="1" t="s">
        <v>13</v>
      </c>
      <c r="D77" s="1" t="s">
        <v>37</v>
      </c>
      <c r="E77" s="1" t="s">
        <v>155</v>
      </c>
      <c r="F77" s="1" t="s">
        <v>151</v>
      </c>
      <c r="G77" s="1" t="str">
        <f>"02746590161"</f>
        <v>02746590161</v>
      </c>
      <c r="I77" s="1" t="s">
        <v>156</v>
      </c>
      <c r="L77" s="1" t="s">
        <v>43</v>
      </c>
      <c r="M77" s="1">
        <v>101593.34</v>
      </c>
      <c r="AG77" s="1">
        <v>0</v>
      </c>
      <c r="AH77" s="2">
        <v>45282</v>
      </c>
      <c r="AI77" s="2">
        <v>46477</v>
      </c>
      <c r="AJ77" s="2">
        <v>45282</v>
      </c>
    </row>
    <row r="78" spans="1:36">
      <c r="A78" s="1" t="str">
        <f>"Z573BC7366"</f>
        <v>Z573BC7366</v>
      </c>
      <c r="B78" s="1" t="str">
        <f t="shared" si="1"/>
        <v>02406911202</v>
      </c>
      <c r="C78" s="1" t="s">
        <v>13</v>
      </c>
      <c r="D78" s="1" t="s">
        <v>37</v>
      </c>
      <c r="E78" s="1" t="s">
        <v>157</v>
      </c>
      <c r="F78" s="1" t="s">
        <v>158</v>
      </c>
      <c r="G78" s="1" t="str">
        <f>"01383340385"</f>
        <v>01383340385</v>
      </c>
      <c r="I78" s="1" t="s">
        <v>159</v>
      </c>
      <c r="L78" s="1" t="s">
        <v>43</v>
      </c>
      <c r="M78" s="1">
        <v>1848</v>
      </c>
      <c r="AG78" s="1">
        <v>1848</v>
      </c>
      <c r="AH78" s="2">
        <v>45110</v>
      </c>
      <c r="AI78" s="2">
        <v>45141</v>
      </c>
      <c r="AJ78" s="2">
        <v>45110</v>
      </c>
    </row>
    <row r="79" spans="1:36">
      <c r="A79" s="1" t="str">
        <f>"ZA53B7E60E"</f>
        <v>ZA53B7E60E</v>
      </c>
      <c r="B79" s="1" t="str">
        <f t="shared" si="1"/>
        <v>02406911202</v>
      </c>
      <c r="C79" s="1" t="s">
        <v>13</v>
      </c>
      <c r="D79" s="1" t="s">
        <v>37</v>
      </c>
      <c r="E79" s="1" t="s">
        <v>160</v>
      </c>
      <c r="F79" s="1" t="s">
        <v>151</v>
      </c>
      <c r="G79" s="1" t="str">
        <f>"03539261200"</f>
        <v>03539261200</v>
      </c>
      <c r="I79" s="1" t="s">
        <v>161</v>
      </c>
      <c r="J79" s="1" t="s">
        <v>162</v>
      </c>
      <c r="K79" s="1" t="s">
        <v>141</v>
      </c>
      <c r="AJ79" s="2">
        <v>45114</v>
      </c>
    </row>
    <row r="80" spans="1:36">
      <c r="A80" s="1" t="str">
        <f>"ZA53B7E60E"</f>
        <v>ZA53B7E60E</v>
      </c>
      <c r="B80" s="1" t="str">
        <f t="shared" si="1"/>
        <v>02406911202</v>
      </c>
      <c r="C80" s="1" t="s">
        <v>13</v>
      </c>
      <c r="D80" s="1" t="s">
        <v>37</v>
      </c>
      <c r="E80" s="1" t="s">
        <v>160</v>
      </c>
      <c r="F80" s="1" t="s">
        <v>151</v>
      </c>
      <c r="G80" s="1" t="str">
        <f>"03752581201"</f>
        <v>03752581201</v>
      </c>
      <c r="I80" s="1" t="s">
        <v>163</v>
      </c>
      <c r="J80" s="1" t="s">
        <v>162</v>
      </c>
      <c r="K80" s="1" t="s">
        <v>139</v>
      </c>
      <c r="AJ80" s="2">
        <v>45114</v>
      </c>
    </row>
    <row r="81" spans="1:36">
      <c r="A81" s="1" t="str">
        <f>"Z6B3B37C9C"</f>
        <v>Z6B3B37C9C</v>
      </c>
      <c r="B81" s="1" t="str">
        <f t="shared" si="1"/>
        <v>02406911202</v>
      </c>
      <c r="C81" s="1" t="s">
        <v>13</v>
      </c>
      <c r="D81" s="1" t="s">
        <v>164</v>
      </c>
      <c r="E81" s="1" t="s">
        <v>165</v>
      </c>
      <c r="F81" s="1" t="s">
        <v>39</v>
      </c>
      <c r="G81" s="1" t="str">
        <f>"02986820237"</f>
        <v>02986820237</v>
      </c>
      <c r="I81" s="1" t="s">
        <v>166</v>
      </c>
      <c r="L81" s="1" t="s">
        <v>43</v>
      </c>
      <c r="M81" s="1">
        <v>36453</v>
      </c>
      <c r="AG81" s="1">
        <v>6410.75</v>
      </c>
      <c r="AH81" s="2">
        <v>45108</v>
      </c>
      <c r="AI81" s="2">
        <v>45291</v>
      </c>
      <c r="AJ81" s="2">
        <v>45108</v>
      </c>
    </row>
    <row r="82" spans="1:36">
      <c r="A82" s="1" t="str">
        <f>"9852865968"</f>
        <v>9852865968</v>
      </c>
      <c r="B82" s="1" t="str">
        <f t="shared" si="1"/>
        <v>02406911202</v>
      </c>
      <c r="C82" s="1" t="s">
        <v>13</v>
      </c>
      <c r="D82" s="1" t="s">
        <v>167</v>
      </c>
      <c r="E82" s="1" t="s">
        <v>168</v>
      </c>
      <c r="F82" s="1" t="s">
        <v>51</v>
      </c>
      <c r="G82" s="1" t="str">
        <f>"03426760363"</f>
        <v>03426760363</v>
      </c>
      <c r="I82" s="1" t="s">
        <v>169</v>
      </c>
      <c r="L82" s="1" t="s">
        <v>43</v>
      </c>
      <c r="M82" s="1">
        <v>1177423.52</v>
      </c>
      <c r="AG82" s="1">
        <v>0</v>
      </c>
      <c r="AH82" s="2">
        <v>45108</v>
      </c>
      <c r="AI82" s="2">
        <v>45473</v>
      </c>
      <c r="AJ82" s="2">
        <v>45108</v>
      </c>
    </row>
    <row r="83" spans="1:36">
      <c r="A83" s="1" t="str">
        <f>"9890346BB4"</f>
        <v>9890346BB4</v>
      </c>
      <c r="B83" s="1" t="str">
        <f t="shared" si="1"/>
        <v>02406911202</v>
      </c>
      <c r="C83" s="1" t="s">
        <v>13</v>
      </c>
      <c r="D83" s="1" t="s">
        <v>167</v>
      </c>
      <c r="E83" s="1" t="s">
        <v>170</v>
      </c>
      <c r="F83" s="1" t="s">
        <v>39</v>
      </c>
      <c r="G83" s="1" t="str">
        <f>"03524050238"</f>
        <v>03524050238</v>
      </c>
      <c r="I83" s="1" t="s">
        <v>171</v>
      </c>
      <c r="L83" s="1" t="s">
        <v>43</v>
      </c>
      <c r="M83" s="1">
        <v>409319</v>
      </c>
      <c r="AG83" s="1">
        <v>69858.95</v>
      </c>
      <c r="AH83" s="2">
        <v>45108</v>
      </c>
      <c r="AI83" s="2">
        <v>45473</v>
      </c>
      <c r="AJ83" s="2">
        <v>45108</v>
      </c>
    </row>
    <row r="84" spans="1:36">
      <c r="A84" s="1" t="str">
        <f>"9890346BB4"</f>
        <v>9890346BB4</v>
      </c>
      <c r="B84" s="1" t="str">
        <f t="shared" si="1"/>
        <v>02406911202</v>
      </c>
      <c r="C84" s="1" t="s">
        <v>13</v>
      </c>
      <c r="D84" s="1" t="s">
        <v>167</v>
      </c>
      <c r="E84" s="1" t="s">
        <v>170</v>
      </c>
      <c r="F84" s="1" t="s">
        <v>39</v>
      </c>
      <c r="G84" s="1" t="str">
        <f>"11189050153"</f>
        <v>11189050153</v>
      </c>
      <c r="I84" s="1" t="s">
        <v>172</v>
      </c>
      <c r="L84" s="1" t="s">
        <v>43</v>
      </c>
      <c r="M84" s="1">
        <v>409319</v>
      </c>
      <c r="AG84" s="1">
        <v>69858.95</v>
      </c>
      <c r="AH84" s="2">
        <v>45108</v>
      </c>
      <c r="AI84" s="2">
        <v>45473</v>
      </c>
      <c r="AJ84" s="2">
        <v>45108</v>
      </c>
    </row>
    <row r="85" spans="1:36">
      <c r="A85" s="1" t="str">
        <f>"990810393F"</f>
        <v>990810393F</v>
      </c>
      <c r="B85" s="1" t="str">
        <f t="shared" si="1"/>
        <v>02406911202</v>
      </c>
      <c r="C85" s="1" t="s">
        <v>13</v>
      </c>
      <c r="D85" s="1" t="s">
        <v>167</v>
      </c>
      <c r="E85" s="1" t="s">
        <v>173</v>
      </c>
      <c r="F85" s="1" t="s">
        <v>151</v>
      </c>
      <c r="G85" s="1" t="str">
        <f>"03411480373"</f>
        <v>03411480373</v>
      </c>
      <c r="I85" s="1" t="s">
        <v>174</v>
      </c>
      <c r="L85" s="1" t="s">
        <v>43</v>
      </c>
      <c r="M85" s="1">
        <v>24500</v>
      </c>
      <c r="AG85" s="1">
        <v>4369.78</v>
      </c>
      <c r="AH85" s="2">
        <v>45108</v>
      </c>
      <c r="AI85" s="2">
        <v>45230</v>
      </c>
      <c r="AJ85" s="2">
        <v>45108</v>
      </c>
    </row>
    <row r="86" spans="1:36">
      <c r="A86" s="1" t="str">
        <f>"9913383E6F"</f>
        <v>9913383E6F</v>
      </c>
      <c r="B86" s="1" t="str">
        <f t="shared" si="1"/>
        <v>02406911202</v>
      </c>
      <c r="C86" s="1" t="s">
        <v>13</v>
      </c>
      <c r="D86" s="1" t="s">
        <v>167</v>
      </c>
      <c r="E86" s="1" t="s">
        <v>175</v>
      </c>
      <c r="F86" s="1" t="s">
        <v>39</v>
      </c>
      <c r="G86" s="1" t="str">
        <f>"09412650153"</f>
        <v>09412650153</v>
      </c>
      <c r="I86" s="1" t="s">
        <v>176</v>
      </c>
      <c r="L86" s="1" t="s">
        <v>43</v>
      </c>
      <c r="M86" s="1">
        <v>294773.40999999997</v>
      </c>
      <c r="AG86" s="1">
        <v>59954.35</v>
      </c>
      <c r="AH86" s="2">
        <v>45108</v>
      </c>
      <c r="AI86" s="2">
        <v>45291</v>
      </c>
      <c r="AJ86" s="2">
        <v>45108</v>
      </c>
    </row>
    <row r="87" spans="1:36">
      <c r="A87" s="1" t="str">
        <f>"Z6C3BBEED0"</f>
        <v>Z6C3BBEED0</v>
      </c>
      <c r="B87" s="1" t="str">
        <f t="shared" si="1"/>
        <v>02406911202</v>
      </c>
      <c r="C87" s="1" t="s">
        <v>13</v>
      </c>
      <c r="D87" s="1" t="s">
        <v>177</v>
      </c>
      <c r="E87" s="1" t="s">
        <v>178</v>
      </c>
      <c r="F87" s="1" t="s">
        <v>39</v>
      </c>
      <c r="G87" s="1" t="str">
        <f>"00672690377"</f>
        <v>00672690377</v>
      </c>
      <c r="I87" s="1" t="s">
        <v>179</v>
      </c>
      <c r="L87" s="1" t="s">
        <v>43</v>
      </c>
      <c r="M87" s="1">
        <v>100000</v>
      </c>
      <c r="AG87" s="1">
        <v>0</v>
      </c>
      <c r="AH87" s="2">
        <v>45108</v>
      </c>
      <c r="AI87" s="2">
        <v>45657</v>
      </c>
      <c r="AJ87" s="2">
        <v>45108</v>
      </c>
    </row>
    <row r="88" spans="1:36">
      <c r="A88" s="1" t="str">
        <f>"Z1E3BC4E77"</f>
        <v>Z1E3BC4E77</v>
      </c>
      <c r="B88" s="1" t="str">
        <f t="shared" si="1"/>
        <v>02406911202</v>
      </c>
      <c r="C88" s="1" t="s">
        <v>13</v>
      </c>
      <c r="D88" s="1" t="s">
        <v>180</v>
      </c>
      <c r="E88" s="1" t="s">
        <v>181</v>
      </c>
      <c r="F88" s="1" t="s">
        <v>158</v>
      </c>
      <c r="G88" s="1" t="str">
        <f>"02789580590"</f>
        <v>02789580590</v>
      </c>
      <c r="I88" s="1" t="s">
        <v>182</v>
      </c>
      <c r="L88" s="1" t="s">
        <v>43</v>
      </c>
      <c r="M88" s="1">
        <v>6000</v>
      </c>
      <c r="AG88" s="1">
        <v>3815.57</v>
      </c>
      <c r="AH88" s="2">
        <v>45110</v>
      </c>
      <c r="AI88" s="2">
        <v>45291</v>
      </c>
      <c r="AJ88" s="2">
        <v>45110</v>
      </c>
    </row>
    <row r="89" spans="1:36">
      <c r="A89" s="1" t="str">
        <f>"9940447C5B"</f>
        <v>9940447C5B</v>
      </c>
      <c r="B89" s="1" t="str">
        <f t="shared" si="1"/>
        <v>02406911202</v>
      </c>
      <c r="C89" s="1" t="s">
        <v>13</v>
      </c>
      <c r="D89" s="1" t="s">
        <v>167</v>
      </c>
      <c r="E89" s="1" t="s">
        <v>183</v>
      </c>
      <c r="F89" s="1" t="s">
        <v>151</v>
      </c>
      <c r="G89" s="1" t="str">
        <f>"02606120349"</f>
        <v>02606120349</v>
      </c>
      <c r="I89" s="1" t="s">
        <v>184</v>
      </c>
      <c r="L89" s="1" t="s">
        <v>43</v>
      </c>
      <c r="M89" s="1">
        <v>1442781.73</v>
      </c>
      <c r="AG89" s="1">
        <v>535744</v>
      </c>
      <c r="AH89" s="2">
        <v>45108</v>
      </c>
      <c r="AI89" s="2">
        <v>45473</v>
      </c>
      <c r="AJ89" s="2">
        <v>45108</v>
      </c>
    </row>
    <row r="90" spans="1:36">
      <c r="A90" s="1" t="str">
        <f>"Z1A3BC514F"</f>
        <v>Z1A3BC514F</v>
      </c>
      <c r="B90" s="1" t="str">
        <f t="shared" si="1"/>
        <v>02406911202</v>
      </c>
      <c r="C90" s="1" t="s">
        <v>13</v>
      </c>
      <c r="D90" s="1" t="s">
        <v>180</v>
      </c>
      <c r="E90" s="1" t="s">
        <v>185</v>
      </c>
      <c r="F90" s="1" t="s">
        <v>158</v>
      </c>
      <c r="G90" s="1" t="str">
        <f>"00803890151"</f>
        <v>00803890151</v>
      </c>
      <c r="I90" s="1" t="s">
        <v>104</v>
      </c>
      <c r="L90" s="1" t="s">
        <v>43</v>
      </c>
      <c r="M90" s="1">
        <v>6000</v>
      </c>
      <c r="AG90" s="1">
        <v>5919.94</v>
      </c>
      <c r="AH90" s="2">
        <v>45110</v>
      </c>
      <c r="AI90" s="2">
        <v>45291</v>
      </c>
      <c r="AJ90" s="2">
        <v>45110</v>
      </c>
    </row>
    <row r="91" spans="1:36">
      <c r="A91" s="1" t="str">
        <f>"99086940F7"</f>
        <v>99086940F7</v>
      </c>
      <c r="B91" s="1" t="str">
        <f t="shared" si="1"/>
        <v>02406911202</v>
      </c>
      <c r="C91" s="1" t="s">
        <v>13</v>
      </c>
      <c r="D91" s="1" t="s">
        <v>186</v>
      </c>
      <c r="E91" s="1" t="s">
        <v>187</v>
      </c>
      <c r="F91" s="1" t="s">
        <v>158</v>
      </c>
      <c r="G91" s="1" t="str">
        <f>"09238800156"</f>
        <v>09238800156</v>
      </c>
      <c r="I91" s="1" t="s">
        <v>92</v>
      </c>
      <c r="L91" s="1" t="s">
        <v>43</v>
      </c>
      <c r="M91" s="1">
        <v>31923</v>
      </c>
      <c r="AG91" s="1">
        <v>8276</v>
      </c>
      <c r="AH91" s="2">
        <v>45110</v>
      </c>
      <c r="AI91" s="2">
        <v>45688</v>
      </c>
      <c r="AJ91" s="2">
        <v>45110</v>
      </c>
    </row>
    <row r="92" spans="1:36">
      <c r="A92" s="1" t="str">
        <f>"Z633BC73B1"</f>
        <v>Z633BC73B1</v>
      </c>
      <c r="B92" s="1" t="str">
        <f t="shared" si="1"/>
        <v>02406911202</v>
      </c>
      <c r="C92" s="1" t="s">
        <v>13</v>
      </c>
      <c r="D92" s="1" t="s">
        <v>180</v>
      </c>
      <c r="E92" s="1" t="s">
        <v>185</v>
      </c>
      <c r="F92" s="1" t="s">
        <v>158</v>
      </c>
      <c r="G92" s="1" t="str">
        <f>"00133360081"</f>
        <v>00133360081</v>
      </c>
      <c r="I92" s="1" t="s">
        <v>188</v>
      </c>
      <c r="L92" s="1" t="s">
        <v>43</v>
      </c>
      <c r="M92" s="1">
        <v>6000</v>
      </c>
      <c r="AG92" s="1">
        <v>5289.6</v>
      </c>
      <c r="AH92" s="2">
        <v>45110</v>
      </c>
      <c r="AI92" s="2">
        <v>45291</v>
      </c>
      <c r="AJ92" s="2">
        <v>45110</v>
      </c>
    </row>
    <row r="93" spans="1:36">
      <c r="A93" s="1" t="str">
        <f>"ZF03BC4174"</f>
        <v>ZF03BC4174</v>
      </c>
      <c r="B93" s="1" t="str">
        <f t="shared" si="1"/>
        <v>02406911202</v>
      </c>
      <c r="C93" s="1" t="s">
        <v>13</v>
      </c>
      <c r="D93" s="1" t="s">
        <v>177</v>
      </c>
      <c r="E93" s="1" t="s">
        <v>189</v>
      </c>
      <c r="F93" s="1" t="s">
        <v>39</v>
      </c>
      <c r="G93" s="1" t="str">
        <f>"03923180370"</f>
        <v>03923180370</v>
      </c>
      <c r="I93" s="1" t="s">
        <v>190</v>
      </c>
      <c r="L93" s="1" t="s">
        <v>43</v>
      </c>
      <c r="M93" s="1">
        <v>2000000</v>
      </c>
      <c r="AG93" s="1">
        <v>302048.15000000002</v>
      </c>
      <c r="AH93" s="2">
        <v>45108</v>
      </c>
      <c r="AI93" s="2">
        <v>45657</v>
      </c>
      <c r="AJ93" s="2">
        <v>45108</v>
      </c>
    </row>
    <row r="94" spans="1:36">
      <c r="A94" s="1" t="str">
        <f>"ZEE3BBF375"</f>
        <v>ZEE3BBF375</v>
      </c>
      <c r="B94" s="1" t="str">
        <f t="shared" si="1"/>
        <v>02406911202</v>
      </c>
      <c r="C94" s="1" t="s">
        <v>13</v>
      </c>
      <c r="D94" s="1" t="s">
        <v>177</v>
      </c>
      <c r="E94" s="1" t="s">
        <v>191</v>
      </c>
      <c r="F94" s="1" t="s">
        <v>39</v>
      </c>
      <c r="G94" s="1" t="str">
        <f>"02441960370"</f>
        <v>02441960370</v>
      </c>
      <c r="I94" s="1" t="s">
        <v>192</v>
      </c>
      <c r="L94" s="1" t="s">
        <v>43</v>
      </c>
      <c r="M94" s="1">
        <v>820000</v>
      </c>
      <c r="AG94" s="1">
        <v>95415.14</v>
      </c>
      <c r="AH94" s="2">
        <v>45108</v>
      </c>
      <c r="AI94" s="2">
        <v>45657</v>
      </c>
      <c r="AJ94" s="2">
        <v>45108</v>
      </c>
    </row>
    <row r="95" spans="1:36">
      <c r="A95" s="1" t="str">
        <f>"Z203BBF2D7"</f>
        <v>Z203BBF2D7</v>
      </c>
      <c r="B95" s="1" t="str">
        <f t="shared" si="1"/>
        <v>02406911202</v>
      </c>
      <c r="C95" s="1" t="s">
        <v>13</v>
      </c>
      <c r="D95" s="1" t="s">
        <v>177</v>
      </c>
      <c r="E95" s="1" t="s">
        <v>193</v>
      </c>
      <c r="F95" s="1" t="s">
        <v>39</v>
      </c>
      <c r="G95" s="1" t="str">
        <f>"02486641208"</f>
        <v>02486641208</v>
      </c>
      <c r="I95" s="1" t="s">
        <v>194</v>
      </c>
      <c r="L95" s="1" t="s">
        <v>43</v>
      </c>
      <c r="M95" s="1">
        <v>380000</v>
      </c>
      <c r="AG95" s="1">
        <v>35255.83</v>
      </c>
      <c r="AH95" s="2">
        <v>45108</v>
      </c>
      <c r="AI95" s="2">
        <v>45657</v>
      </c>
      <c r="AJ95" s="2">
        <v>45108</v>
      </c>
    </row>
    <row r="96" spans="1:36">
      <c r="A96" s="1" t="str">
        <f>"ZC13BBF21D"</f>
        <v>ZC13BBF21D</v>
      </c>
      <c r="B96" s="1" t="str">
        <f t="shared" si="1"/>
        <v>02406911202</v>
      </c>
      <c r="C96" s="1" t="s">
        <v>13</v>
      </c>
      <c r="D96" s="1" t="s">
        <v>177</v>
      </c>
      <c r="E96" s="1" t="s">
        <v>195</v>
      </c>
      <c r="F96" s="1" t="s">
        <v>39</v>
      </c>
      <c r="G96" s="1" t="str">
        <f>"91181650374"</f>
        <v>91181650374</v>
      </c>
      <c r="I96" s="1" t="s">
        <v>196</v>
      </c>
      <c r="L96" s="1" t="s">
        <v>43</v>
      </c>
      <c r="M96" s="1">
        <v>700000</v>
      </c>
      <c r="AG96" s="1">
        <v>68085.539999999994</v>
      </c>
      <c r="AH96" s="2">
        <v>45108</v>
      </c>
      <c r="AI96" s="2">
        <v>45657</v>
      </c>
      <c r="AJ96" s="2">
        <v>45108</v>
      </c>
    </row>
    <row r="97" spans="1:36">
      <c r="A97" s="1" t="str">
        <f>"ZAC3BBF15B"</f>
        <v>ZAC3BBF15B</v>
      </c>
      <c r="B97" s="1" t="str">
        <f t="shared" si="1"/>
        <v>02406911202</v>
      </c>
      <c r="C97" s="1" t="s">
        <v>13</v>
      </c>
      <c r="D97" s="1" t="s">
        <v>177</v>
      </c>
      <c r="E97" s="1" t="s">
        <v>197</v>
      </c>
      <c r="F97" s="1" t="s">
        <v>39</v>
      </c>
      <c r="G97" s="1" t="str">
        <f>"91181650374"</f>
        <v>91181650374</v>
      </c>
      <c r="I97" s="1" t="s">
        <v>196</v>
      </c>
      <c r="L97" s="1" t="s">
        <v>43</v>
      </c>
      <c r="M97" s="1">
        <v>1300000</v>
      </c>
      <c r="AG97" s="1">
        <v>246278.42</v>
      </c>
      <c r="AH97" s="2">
        <v>45108</v>
      </c>
      <c r="AI97" s="2">
        <v>45657</v>
      </c>
      <c r="AJ97" s="2">
        <v>45108</v>
      </c>
    </row>
    <row r="98" spans="1:36">
      <c r="A98" s="1" t="str">
        <f>"9939398AB2"</f>
        <v>9939398AB2</v>
      </c>
      <c r="B98" s="1" t="str">
        <f t="shared" si="1"/>
        <v>02406911202</v>
      </c>
      <c r="C98" s="1" t="s">
        <v>13</v>
      </c>
      <c r="D98" s="1" t="s">
        <v>167</v>
      </c>
      <c r="E98" s="1" t="s">
        <v>198</v>
      </c>
      <c r="F98" s="1" t="s">
        <v>151</v>
      </c>
      <c r="G98" s="1" t="str">
        <f>"01140030360"</f>
        <v>01140030360</v>
      </c>
      <c r="I98" s="1" t="s">
        <v>111</v>
      </c>
      <c r="L98" s="1" t="s">
        <v>43</v>
      </c>
      <c r="M98" s="1">
        <v>109500</v>
      </c>
      <c r="AG98" s="1">
        <v>22741.62</v>
      </c>
      <c r="AH98" s="2">
        <v>45108</v>
      </c>
      <c r="AI98" s="2">
        <v>45291</v>
      </c>
      <c r="AJ98" s="2">
        <v>45108</v>
      </c>
    </row>
    <row r="99" spans="1:36">
      <c r="A99" s="1" t="str">
        <f>"99394440AB"</f>
        <v>99394440AB</v>
      </c>
      <c r="B99" s="1" t="str">
        <f t="shared" si="1"/>
        <v>02406911202</v>
      </c>
      <c r="C99" s="1" t="s">
        <v>13</v>
      </c>
      <c r="D99" s="1" t="s">
        <v>167</v>
      </c>
      <c r="E99" s="1" t="s">
        <v>199</v>
      </c>
      <c r="F99" s="1" t="s">
        <v>151</v>
      </c>
      <c r="G99" s="1" t="str">
        <f>"11206730159"</f>
        <v>11206730159</v>
      </c>
      <c r="I99" s="1" t="s">
        <v>68</v>
      </c>
      <c r="L99" s="1" t="s">
        <v>43</v>
      </c>
      <c r="M99" s="1">
        <v>212050</v>
      </c>
      <c r="AG99" s="1">
        <v>54374</v>
      </c>
      <c r="AH99" s="2">
        <v>45108</v>
      </c>
      <c r="AI99" s="2">
        <v>45291</v>
      </c>
      <c r="AJ99" s="2">
        <v>45108</v>
      </c>
    </row>
    <row r="100" spans="1:36">
      <c r="A100" s="1" t="str">
        <f>"Z143BC8B80"</f>
        <v>Z143BC8B80</v>
      </c>
      <c r="B100" s="1" t="str">
        <f t="shared" si="1"/>
        <v>02406911202</v>
      </c>
      <c r="C100" s="1" t="s">
        <v>13</v>
      </c>
      <c r="D100" s="1" t="s">
        <v>180</v>
      </c>
      <c r="E100" s="1" t="s">
        <v>200</v>
      </c>
      <c r="F100" s="1" t="s">
        <v>158</v>
      </c>
      <c r="G100" s="1" t="str">
        <f>"00228550273"</f>
        <v>00228550273</v>
      </c>
      <c r="I100" s="1" t="s">
        <v>201</v>
      </c>
      <c r="L100" s="1" t="s">
        <v>43</v>
      </c>
      <c r="M100" s="1">
        <v>6000</v>
      </c>
      <c r="AG100" s="1">
        <v>5751.36</v>
      </c>
      <c r="AH100" s="2">
        <v>45111</v>
      </c>
      <c r="AI100" s="2">
        <v>45291</v>
      </c>
      <c r="AJ100" s="2">
        <v>45111</v>
      </c>
    </row>
    <row r="101" spans="1:36">
      <c r="A101" s="1" t="str">
        <f>"ZB43BCABD7"</f>
        <v>ZB43BCABD7</v>
      </c>
      <c r="B101" s="1" t="str">
        <f t="shared" si="1"/>
        <v>02406911202</v>
      </c>
      <c r="C101" s="1" t="s">
        <v>13</v>
      </c>
      <c r="D101" s="1" t="s">
        <v>186</v>
      </c>
      <c r="E101" s="1" t="s">
        <v>202</v>
      </c>
      <c r="F101" s="1" t="s">
        <v>158</v>
      </c>
      <c r="G101" s="1" t="str">
        <f>"09018810151"</f>
        <v>09018810151</v>
      </c>
      <c r="I101" s="1" t="s">
        <v>203</v>
      </c>
      <c r="L101" s="1" t="s">
        <v>43</v>
      </c>
      <c r="M101" s="1">
        <v>4999</v>
      </c>
      <c r="AG101" s="1">
        <v>4439.79</v>
      </c>
      <c r="AH101" s="2">
        <v>45111</v>
      </c>
      <c r="AI101" s="2">
        <v>45657</v>
      </c>
      <c r="AJ101" s="2">
        <v>45111</v>
      </c>
    </row>
    <row r="102" spans="1:36">
      <c r="A102" s="1" t="str">
        <f>"Z173BCB096"</f>
        <v>Z173BCB096</v>
      </c>
      <c r="B102" s="1" t="str">
        <f t="shared" si="1"/>
        <v>02406911202</v>
      </c>
      <c r="C102" s="1" t="s">
        <v>13</v>
      </c>
      <c r="D102" s="1" t="s">
        <v>180</v>
      </c>
      <c r="E102" s="1" t="s">
        <v>185</v>
      </c>
      <c r="F102" s="1" t="s">
        <v>158</v>
      </c>
      <c r="G102" s="1" t="str">
        <f>"00803890151"</f>
        <v>00803890151</v>
      </c>
      <c r="I102" s="1" t="s">
        <v>104</v>
      </c>
      <c r="L102" s="1" t="s">
        <v>43</v>
      </c>
      <c r="M102" s="1">
        <v>6000</v>
      </c>
      <c r="AG102" s="1">
        <v>5939.98</v>
      </c>
      <c r="AH102" s="2">
        <v>45111</v>
      </c>
      <c r="AI102" s="2">
        <v>45291</v>
      </c>
      <c r="AJ102" s="2">
        <v>45111</v>
      </c>
    </row>
    <row r="103" spans="1:36">
      <c r="A103" s="1" t="str">
        <f>"ZCF3BC3699"</f>
        <v>ZCF3BC3699</v>
      </c>
      <c r="B103" s="1" t="str">
        <f t="shared" si="1"/>
        <v>02406911202</v>
      </c>
      <c r="C103" s="1" t="s">
        <v>13</v>
      </c>
      <c r="D103" s="1" t="s">
        <v>167</v>
      </c>
      <c r="E103" s="1" t="s">
        <v>204</v>
      </c>
      <c r="F103" s="1" t="s">
        <v>151</v>
      </c>
      <c r="G103" s="1" t="str">
        <f>"09053360153"</f>
        <v>09053360153</v>
      </c>
      <c r="I103" s="1" t="s">
        <v>205</v>
      </c>
      <c r="L103" s="1" t="s">
        <v>43</v>
      </c>
      <c r="M103" s="1">
        <v>400</v>
      </c>
      <c r="AG103" s="1">
        <v>191</v>
      </c>
      <c r="AH103" s="2">
        <v>45108</v>
      </c>
      <c r="AI103" s="2">
        <v>45291</v>
      </c>
      <c r="AJ103" s="2">
        <v>45108</v>
      </c>
    </row>
    <row r="104" spans="1:36">
      <c r="A104" s="1" t="str">
        <f>"9897110989"</f>
        <v>9897110989</v>
      </c>
      <c r="B104" s="1" t="str">
        <f t="shared" si="1"/>
        <v>02406911202</v>
      </c>
      <c r="C104" s="1" t="s">
        <v>13</v>
      </c>
      <c r="D104" s="1" t="s">
        <v>167</v>
      </c>
      <c r="E104" s="1" t="s">
        <v>206</v>
      </c>
      <c r="F104" s="1" t="s">
        <v>151</v>
      </c>
      <c r="G104" s="1" t="str">
        <f>"00488410010"</f>
        <v>00488410010</v>
      </c>
      <c r="I104" s="1" t="s">
        <v>207</v>
      </c>
      <c r="L104" s="1" t="s">
        <v>43</v>
      </c>
      <c r="M104" s="1">
        <v>61960</v>
      </c>
      <c r="AG104" s="1">
        <v>0</v>
      </c>
      <c r="AH104" s="2">
        <v>45108</v>
      </c>
      <c r="AI104" s="2">
        <v>45443</v>
      </c>
      <c r="AJ104" s="2">
        <v>45108</v>
      </c>
    </row>
    <row r="105" spans="1:36">
      <c r="A105" s="1" t="str">
        <f>"9939518DB8"</f>
        <v>9939518DB8</v>
      </c>
      <c r="B105" s="1" t="str">
        <f t="shared" si="1"/>
        <v>02406911202</v>
      </c>
      <c r="C105" s="1" t="s">
        <v>13</v>
      </c>
      <c r="D105" s="1" t="s">
        <v>167</v>
      </c>
      <c r="E105" s="1" t="s">
        <v>208</v>
      </c>
      <c r="F105" s="1" t="s">
        <v>151</v>
      </c>
      <c r="G105" s="1" t="str">
        <f>"10994940152"</f>
        <v>10994940152</v>
      </c>
      <c r="I105" s="1" t="s">
        <v>209</v>
      </c>
      <c r="L105" s="1" t="s">
        <v>43</v>
      </c>
      <c r="M105" s="1">
        <v>55325</v>
      </c>
      <c r="AG105" s="1">
        <v>12266.96</v>
      </c>
      <c r="AH105" s="2">
        <v>45108</v>
      </c>
      <c r="AI105" s="2">
        <v>45291</v>
      </c>
      <c r="AJ105" s="2">
        <v>45108</v>
      </c>
    </row>
    <row r="106" spans="1:36">
      <c r="A106" s="1" t="str">
        <f>"Z4E3BC4DAD"</f>
        <v>Z4E3BC4DAD</v>
      </c>
      <c r="B106" s="1" t="str">
        <f t="shared" si="1"/>
        <v>02406911202</v>
      </c>
      <c r="C106" s="1" t="s">
        <v>13</v>
      </c>
      <c r="D106" s="1" t="s">
        <v>186</v>
      </c>
      <c r="E106" s="1" t="s">
        <v>210</v>
      </c>
      <c r="F106" s="1" t="s">
        <v>158</v>
      </c>
      <c r="G106" s="1" t="str">
        <f>"01067490050"</f>
        <v>01067490050</v>
      </c>
      <c r="I106" s="1" t="s">
        <v>211</v>
      </c>
      <c r="L106" s="1" t="s">
        <v>43</v>
      </c>
      <c r="M106" s="1">
        <v>4999</v>
      </c>
      <c r="AG106" s="1">
        <v>1839.42</v>
      </c>
      <c r="AH106" s="2">
        <v>45110</v>
      </c>
      <c r="AI106" s="2">
        <v>46022</v>
      </c>
      <c r="AJ106" s="2">
        <v>45110</v>
      </c>
    </row>
    <row r="107" spans="1:36">
      <c r="A107" s="1" t="str">
        <f>"ZB63BC522D"</f>
        <v>ZB63BC522D</v>
      </c>
      <c r="B107" s="1" t="str">
        <f t="shared" si="1"/>
        <v>02406911202</v>
      </c>
      <c r="C107" s="1" t="s">
        <v>13</v>
      </c>
      <c r="D107" s="1" t="s">
        <v>180</v>
      </c>
      <c r="E107" s="1" t="s">
        <v>181</v>
      </c>
      <c r="F107" s="1" t="s">
        <v>158</v>
      </c>
      <c r="H107" s="1" t="str">
        <f>"331567510"</f>
        <v>331567510</v>
      </c>
      <c r="I107" s="1" t="s">
        <v>212</v>
      </c>
      <c r="L107" s="1" t="s">
        <v>43</v>
      </c>
      <c r="M107" s="1">
        <v>6000</v>
      </c>
      <c r="AG107" s="1">
        <v>5760.74</v>
      </c>
      <c r="AH107" s="2">
        <v>45110</v>
      </c>
      <c r="AI107" s="2">
        <v>45291</v>
      </c>
      <c r="AJ107" s="2">
        <v>45110</v>
      </c>
    </row>
    <row r="108" spans="1:36">
      <c r="A108" s="1" t="str">
        <f>"Z413BC0F58"</f>
        <v>Z413BC0F58</v>
      </c>
      <c r="B108" s="1" t="str">
        <f t="shared" si="1"/>
        <v>02406911202</v>
      </c>
      <c r="C108" s="1" t="s">
        <v>13</v>
      </c>
      <c r="D108" s="1" t="s">
        <v>180</v>
      </c>
      <c r="E108" s="1" t="s">
        <v>213</v>
      </c>
      <c r="F108" s="1" t="s">
        <v>158</v>
      </c>
      <c r="G108" s="1" t="str">
        <f>"01368670384"</f>
        <v>01368670384</v>
      </c>
      <c r="I108" s="1" t="s">
        <v>214</v>
      </c>
      <c r="L108" s="1" t="s">
        <v>43</v>
      </c>
      <c r="M108" s="1">
        <v>6000</v>
      </c>
      <c r="AG108" s="1">
        <v>5124.7</v>
      </c>
      <c r="AH108" s="2">
        <v>45110</v>
      </c>
      <c r="AI108" s="2">
        <v>45291</v>
      </c>
      <c r="AJ108" s="2">
        <v>45110</v>
      </c>
    </row>
    <row r="109" spans="1:36">
      <c r="A109" s="1" t="str">
        <f>"991378060F"</f>
        <v>991378060F</v>
      </c>
      <c r="B109" s="1" t="str">
        <f t="shared" si="1"/>
        <v>02406911202</v>
      </c>
      <c r="C109" s="1" t="s">
        <v>13</v>
      </c>
      <c r="D109" s="1" t="s">
        <v>167</v>
      </c>
      <c r="E109" s="1" t="s">
        <v>215</v>
      </c>
      <c r="F109" s="1" t="s">
        <v>39</v>
      </c>
      <c r="G109" s="1" t="str">
        <f>"04836380156"</f>
        <v>04836380156</v>
      </c>
      <c r="I109" s="1" t="s">
        <v>216</v>
      </c>
      <c r="L109" s="1" t="s">
        <v>43</v>
      </c>
      <c r="M109" s="1">
        <v>134078.66</v>
      </c>
      <c r="AG109" s="1">
        <v>67039.149999999994</v>
      </c>
      <c r="AH109" s="2">
        <v>45108</v>
      </c>
      <c r="AI109" s="2">
        <v>45291</v>
      </c>
      <c r="AJ109" s="2">
        <v>45108</v>
      </c>
    </row>
    <row r="110" spans="1:36">
      <c r="A110" s="1" t="str">
        <f>"99089769AB"</f>
        <v>99089769AB</v>
      </c>
      <c r="B110" s="1" t="str">
        <f t="shared" si="1"/>
        <v>02406911202</v>
      </c>
      <c r="C110" s="1" t="s">
        <v>13</v>
      </c>
      <c r="D110" s="1" t="s">
        <v>186</v>
      </c>
      <c r="E110" s="1" t="s">
        <v>217</v>
      </c>
      <c r="F110" s="1" t="s">
        <v>158</v>
      </c>
      <c r="G110" s="1" t="str">
        <f>"10994940152"</f>
        <v>10994940152</v>
      </c>
      <c r="I110" s="1" t="s">
        <v>209</v>
      </c>
      <c r="L110" s="1" t="s">
        <v>43</v>
      </c>
      <c r="M110" s="1">
        <v>33131.269999999997</v>
      </c>
      <c r="AG110" s="1">
        <v>11157.93</v>
      </c>
      <c r="AH110" s="2">
        <v>45110</v>
      </c>
      <c r="AI110" s="2">
        <v>45657</v>
      </c>
      <c r="AJ110" s="2">
        <v>45110</v>
      </c>
    </row>
    <row r="111" spans="1:36">
      <c r="A111" s="1" t="str">
        <f>"9937638E4B"</f>
        <v>9937638E4B</v>
      </c>
      <c r="B111" s="1" t="str">
        <f t="shared" si="1"/>
        <v>02406911202</v>
      </c>
      <c r="C111" s="1" t="s">
        <v>13</v>
      </c>
      <c r="D111" s="1" t="s">
        <v>167</v>
      </c>
      <c r="E111" s="1" t="s">
        <v>218</v>
      </c>
      <c r="F111" s="1" t="s">
        <v>151</v>
      </c>
      <c r="G111" s="1" t="str">
        <f>"00076670595"</f>
        <v>00076670595</v>
      </c>
      <c r="I111" s="1" t="s">
        <v>219</v>
      </c>
      <c r="L111" s="1" t="s">
        <v>43</v>
      </c>
      <c r="M111" s="1">
        <v>1447094.11</v>
      </c>
      <c r="AG111" s="1">
        <v>30949.37</v>
      </c>
      <c r="AH111" s="2">
        <v>45108</v>
      </c>
      <c r="AI111" s="2">
        <v>46191</v>
      </c>
      <c r="AJ111" s="2">
        <v>45108</v>
      </c>
    </row>
    <row r="112" spans="1:36">
      <c r="A112" s="1" t="str">
        <f>"ZAD3BC5798"</f>
        <v>ZAD3BC5798</v>
      </c>
      <c r="B112" s="1" t="str">
        <f t="shared" si="1"/>
        <v>02406911202</v>
      </c>
      <c r="C112" s="1" t="s">
        <v>13</v>
      </c>
      <c r="D112" s="1" t="s">
        <v>180</v>
      </c>
      <c r="E112" s="1" t="s">
        <v>220</v>
      </c>
      <c r="F112" s="1" t="s">
        <v>158</v>
      </c>
      <c r="G112" s="1" t="str">
        <f>"00674840152"</f>
        <v>00674840152</v>
      </c>
      <c r="I112" s="1" t="s">
        <v>87</v>
      </c>
      <c r="L112" s="1" t="s">
        <v>43</v>
      </c>
      <c r="M112" s="1">
        <v>6000</v>
      </c>
      <c r="AG112" s="1">
        <v>6648.2</v>
      </c>
      <c r="AH112" s="2">
        <v>45110</v>
      </c>
      <c r="AI112" s="2">
        <v>45291</v>
      </c>
      <c r="AJ112" s="2">
        <v>45110</v>
      </c>
    </row>
    <row r="113" spans="1:36">
      <c r="A113" s="1" t="str">
        <f>"Z5F3BCB549"</f>
        <v>Z5F3BCB549</v>
      </c>
      <c r="B113" s="1" t="str">
        <f t="shared" si="1"/>
        <v>02406911202</v>
      </c>
      <c r="C113" s="1" t="s">
        <v>13</v>
      </c>
      <c r="D113" s="1" t="s">
        <v>180</v>
      </c>
      <c r="E113" s="1" t="s">
        <v>181</v>
      </c>
      <c r="F113" s="1" t="s">
        <v>158</v>
      </c>
      <c r="G113" s="1" t="str">
        <f>"03066421201"</f>
        <v>03066421201</v>
      </c>
      <c r="I113" s="1" t="s">
        <v>221</v>
      </c>
      <c r="L113" s="1" t="s">
        <v>43</v>
      </c>
      <c r="M113" s="1">
        <v>6000</v>
      </c>
      <c r="AG113" s="1">
        <v>5549.73</v>
      </c>
      <c r="AH113" s="2">
        <v>45111</v>
      </c>
      <c r="AI113" s="2">
        <v>45291</v>
      </c>
      <c r="AJ113" s="2">
        <v>45111</v>
      </c>
    </row>
    <row r="114" spans="1:36">
      <c r="A114" s="1" t="str">
        <f>"Z033BBE03D"</f>
        <v>Z033BBE03D</v>
      </c>
      <c r="B114" s="1" t="str">
        <f t="shared" si="1"/>
        <v>02406911202</v>
      </c>
      <c r="C114" s="1" t="s">
        <v>13</v>
      </c>
      <c r="D114" s="1" t="s">
        <v>177</v>
      </c>
      <c r="E114" s="1" t="s">
        <v>222</v>
      </c>
      <c r="F114" s="1" t="s">
        <v>39</v>
      </c>
      <c r="G114" s="1" t="str">
        <f>"00672690377"</f>
        <v>00672690377</v>
      </c>
      <c r="I114" s="1" t="s">
        <v>179</v>
      </c>
      <c r="L114" s="1" t="s">
        <v>43</v>
      </c>
      <c r="M114" s="1">
        <v>6000000</v>
      </c>
      <c r="AG114" s="1">
        <v>957408.97</v>
      </c>
      <c r="AH114" s="2">
        <v>45108</v>
      </c>
      <c r="AI114" s="2">
        <v>45657</v>
      </c>
      <c r="AJ114" s="2">
        <v>45108</v>
      </c>
    </row>
    <row r="115" spans="1:36">
      <c r="A115" s="1" t="str">
        <f>"99379217D7"</f>
        <v>99379217D7</v>
      </c>
      <c r="B115" s="1" t="str">
        <f t="shared" si="1"/>
        <v>02406911202</v>
      </c>
      <c r="C115" s="1" t="s">
        <v>13</v>
      </c>
      <c r="D115" s="1" t="s">
        <v>167</v>
      </c>
      <c r="E115" s="1" t="s">
        <v>223</v>
      </c>
      <c r="F115" s="1" t="s">
        <v>151</v>
      </c>
      <c r="G115" s="1" t="str">
        <f>"11667890153"</f>
        <v>11667890153</v>
      </c>
      <c r="I115" s="1" t="s">
        <v>224</v>
      </c>
      <c r="L115" s="1" t="s">
        <v>43</v>
      </c>
      <c r="M115" s="1">
        <v>522219.68</v>
      </c>
      <c r="AG115" s="1">
        <v>16921.38</v>
      </c>
      <c r="AH115" s="2">
        <v>45108</v>
      </c>
      <c r="AI115" s="2">
        <v>46180</v>
      </c>
      <c r="AJ115" s="2">
        <v>45108</v>
      </c>
    </row>
    <row r="116" spans="1:36">
      <c r="A116" s="1" t="str">
        <f>"9938618706"</f>
        <v>9938618706</v>
      </c>
      <c r="B116" s="1" t="str">
        <f t="shared" si="1"/>
        <v>02406911202</v>
      </c>
      <c r="C116" s="1" t="s">
        <v>13</v>
      </c>
      <c r="D116" s="1" t="s">
        <v>167</v>
      </c>
      <c r="E116" s="1" t="s">
        <v>225</v>
      </c>
      <c r="F116" s="1" t="s">
        <v>151</v>
      </c>
      <c r="G116" s="1" t="str">
        <f>"00334560125"</f>
        <v>00334560125</v>
      </c>
      <c r="I116" s="1" t="s">
        <v>226</v>
      </c>
      <c r="L116" s="1" t="s">
        <v>43</v>
      </c>
      <c r="M116" s="1">
        <v>10662.19</v>
      </c>
      <c r="AG116" s="1">
        <v>0</v>
      </c>
      <c r="AH116" s="2">
        <v>45108</v>
      </c>
      <c r="AI116" s="2">
        <v>46185</v>
      </c>
      <c r="AJ116" s="2">
        <v>45108</v>
      </c>
    </row>
    <row r="117" spans="1:36">
      <c r="A117" s="1" t="str">
        <f>"9938083D85"</f>
        <v>9938083D85</v>
      </c>
      <c r="B117" s="1" t="str">
        <f t="shared" si="1"/>
        <v>02406911202</v>
      </c>
      <c r="C117" s="1" t="s">
        <v>13</v>
      </c>
      <c r="D117" s="1" t="s">
        <v>167</v>
      </c>
      <c r="E117" s="1" t="s">
        <v>227</v>
      </c>
      <c r="F117" s="1" t="s">
        <v>151</v>
      </c>
      <c r="G117" s="1" t="str">
        <f>"10329000961"</f>
        <v>10329000961</v>
      </c>
      <c r="I117" s="1" t="s">
        <v>228</v>
      </c>
      <c r="L117" s="1" t="s">
        <v>43</v>
      </c>
      <c r="M117" s="1">
        <v>445018.95</v>
      </c>
      <c r="AG117" s="1">
        <v>46436.639999999999</v>
      </c>
      <c r="AH117" s="2">
        <v>45108</v>
      </c>
      <c r="AI117" s="2">
        <v>46179</v>
      </c>
      <c r="AJ117" s="2">
        <v>45108</v>
      </c>
    </row>
    <row r="118" spans="1:36">
      <c r="A118" s="1" t="str">
        <f>"9938941194"</f>
        <v>9938941194</v>
      </c>
      <c r="B118" s="1" t="str">
        <f t="shared" si="1"/>
        <v>02406911202</v>
      </c>
      <c r="C118" s="1" t="s">
        <v>13</v>
      </c>
      <c r="D118" s="1" t="s">
        <v>167</v>
      </c>
      <c r="E118" s="1" t="s">
        <v>229</v>
      </c>
      <c r="F118" s="1" t="s">
        <v>151</v>
      </c>
      <c r="G118" s="1" t="str">
        <f>"00605750215"</f>
        <v>00605750215</v>
      </c>
      <c r="I118" s="1" t="s">
        <v>230</v>
      </c>
      <c r="L118" s="1" t="s">
        <v>43</v>
      </c>
      <c r="M118" s="1">
        <v>4500</v>
      </c>
      <c r="AG118" s="1">
        <v>0</v>
      </c>
      <c r="AH118" s="2">
        <v>45108</v>
      </c>
      <c r="AI118" s="2">
        <v>46181</v>
      </c>
      <c r="AJ118" s="2">
        <v>45108</v>
      </c>
    </row>
    <row r="119" spans="1:36">
      <c r="A119" s="1" t="str">
        <f>"9938690272"</f>
        <v>9938690272</v>
      </c>
      <c r="B119" s="1" t="str">
        <f t="shared" si="1"/>
        <v>02406911202</v>
      </c>
      <c r="C119" s="1" t="s">
        <v>13</v>
      </c>
      <c r="D119" s="1" t="s">
        <v>167</v>
      </c>
      <c r="E119" s="1" t="s">
        <v>231</v>
      </c>
      <c r="F119" s="1" t="s">
        <v>151</v>
      </c>
      <c r="G119" s="1" t="str">
        <f>"09674060158"</f>
        <v>09674060158</v>
      </c>
      <c r="I119" s="1" t="s">
        <v>232</v>
      </c>
      <c r="L119" s="1" t="s">
        <v>43</v>
      </c>
      <c r="M119" s="1">
        <v>2956.2</v>
      </c>
      <c r="AG119" s="1">
        <v>413.92</v>
      </c>
      <c r="AH119" s="2">
        <v>45108</v>
      </c>
      <c r="AI119" s="2">
        <v>46184</v>
      </c>
      <c r="AJ119" s="2">
        <v>45108</v>
      </c>
    </row>
    <row r="120" spans="1:36">
      <c r="A120" s="1" t="str">
        <f>"Z8E3BC68BB"</f>
        <v>Z8E3BC68BB</v>
      </c>
      <c r="B120" s="1" t="str">
        <f t="shared" si="1"/>
        <v>02406911202</v>
      </c>
      <c r="C120" s="1" t="s">
        <v>13</v>
      </c>
      <c r="D120" s="1" t="s">
        <v>186</v>
      </c>
      <c r="E120" s="1" t="s">
        <v>233</v>
      </c>
      <c r="F120" s="1" t="s">
        <v>158</v>
      </c>
      <c r="G120" s="1" t="str">
        <f>"01865630287"</f>
        <v>01865630287</v>
      </c>
      <c r="I120" s="1" t="s">
        <v>234</v>
      </c>
      <c r="L120" s="1" t="s">
        <v>43</v>
      </c>
      <c r="M120" s="1">
        <v>4999</v>
      </c>
      <c r="AG120" s="1">
        <v>4690</v>
      </c>
      <c r="AH120" s="2">
        <v>45110</v>
      </c>
      <c r="AI120" s="2">
        <v>46022</v>
      </c>
      <c r="AJ120" s="2">
        <v>45110</v>
      </c>
    </row>
    <row r="121" spans="1:36">
      <c r="A121" s="1" t="str">
        <f>"Z493BBDE84"</f>
        <v>Z493BBDE84</v>
      </c>
      <c r="B121" s="1" t="str">
        <f t="shared" si="1"/>
        <v>02406911202</v>
      </c>
      <c r="C121" s="1" t="s">
        <v>13</v>
      </c>
      <c r="D121" s="1" t="s">
        <v>177</v>
      </c>
      <c r="E121" s="1" t="s">
        <v>235</v>
      </c>
      <c r="F121" s="1" t="s">
        <v>39</v>
      </c>
      <c r="G121" s="1" t="str">
        <f>"03510961208"</f>
        <v>03510961208</v>
      </c>
      <c r="I121" s="1" t="s">
        <v>236</v>
      </c>
      <c r="L121" s="1" t="s">
        <v>43</v>
      </c>
      <c r="M121" s="1">
        <v>8000000</v>
      </c>
      <c r="AG121" s="1">
        <v>1144508.8600000001</v>
      </c>
      <c r="AH121" s="2">
        <v>45108</v>
      </c>
      <c r="AI121" s="2">
        <v>45291</v>
      </c>
      <c r="AJ121" s="2">
        <v>45108</v>
      </c>
    </row>
    <row r="122" spans="1:36">
      <c r="A122" s="1" t="str">
        <f>"Z473BC41FC"</f>
        <v>Z473BC41FC</v>
      </c>
      <c r="B122" s="1" t="str">
        <f t="shared" si="1"/>
        <v>02406911202</v>
      </c>
      <c r="C122" s="1" t="s">
        <v>13</v>
      </c>
      <c r="D122" s="1" t="s">
        <v>177</v>
      </c>
      <c r="E122" s="1" t="s">
        <v>237</v>
      </c>
      <c r="F122" s="1" t="s">
        <v>39</v>
      </c>
      <c r="G122" s="1" t="str">
        <f>"01054710379"</f>
        <v>01054710379</v>
      </c>
      <c r="I122" s="1" t="s">
        <v>238</v>
      </c>
      <c r="L122" s="1" t="s">
        <v>43</v>
      </c>
      <c r="M122" s="1">
        <v>1400000</v>
      </c>
      <c r="AG122" s="1">
        <v>166830.79</v>
      </c>
      <c r="AH122" s="2">
        <v>45108</v>
      </c>
      <c r="AI122" s="2">
        <v>45657</v>
      </c>
      <c r="AJ122" s="2">
        <v>45108</v>
      </c>
    </row>
    <row r="123" spans="1:36">
      <c r="A123" s="1" t="str">
        <f>"ZA33BC6787"</f>
        <v>ZA33BC6787</v>
      </c>
      <c r="B123" s="1" t="str">
        <f t="shared" si="1"/>
        <v>02406911202</v>
      </c>
      <c r="C123" s="1" t="s">
        <v>13</v>
      </c>
      <c r="D123" s="1" t="s">
        <v>177</v>
      </c>
      <c r="E123" s="1" t="s">
        <v>239</v>
      </c>
      <c r="F123" s="1" t="s">
        <v>39</v>
      </c>
      <c r="G123" s="1" t="str">
        <f>"02606891204"</f>
        <v>02606891204</v>
      </c>
      <c r="I123" s="1" t="s">
        <v>240</v>
      </c>
      <c r="L123" s="1" t="s">
        <v>43</v>
      </c>
      <c r="M123" s="1">
        <v>2500000</v>
      </c>
      <c r="AG123" s="1">
        <v>397605.43</v>
      </c>
      <c r="AH123" s="2">
        <v>45108</v>
      </c>
      <c r="AI123" s="2">
        <v>45657</v>
      </c>
      <c r="AJ123" s="2">
        <v>45108</v>
      </c>
    </row>
    <row r="124" spans="1:36">
      <c r="A124" s="1" t="str">
        <f>"Z953BC66B2"</f>
        <v>Z953BC66B2</v>
      </c>
      <c r="B124" s="1" t="str">
        <f t="shared" si="1"/>
        <v>02406911202</v>
      </c>
      <c r="C124" s="1" t="s">
        <v>13</v>
      </c>
      <c r="D124" s="1" t="s">
        <v>177</v>
      </c>
      <c r="E124" s="1" t="s">
        <v>241</v>
      </c>
      <c r="F124" s="1" t="s">
        <v>39</v>
      </c>
      <c r="G124" s="1" t="str">
        <f>"02606891204"</f>
        <v>02606891204</v>
      </c>
      <c r="I124" s="1" t="s">
        <v>240</v>
      </c>
      <c r="L124" s="1" t="s">
        <v>43</v>
      </c>
      <c r="M124" s="1">
        <v>100000</v>
      </c>
      <c r="AG124" s="1">
        <v>0</v>
      </c>
      <c r="AH124" s="2">
        <v>45108</v>
      </c>
      <c r="AI124" s="2">
        <v>45657</v>
      </c>
      <c r="AJ124" s="2">
        <v>45108</v>
      </c>
    </row>
    <row r="125" spans="1:36">
      <c r="A125" s="1" t="str">
        <f>"Z5C3BC41C3"</f>
        <v>Z5C3BC41C3</v>
      </c>
      <c r="B125" s="1" t="str">
        <f t="shared" si="1"/>
        <v>02406911202</v>
      </c>
      <c r="C125" s="1" t="s">
        <v>13</v>
      </c>
      <c r="D125" s="1" t="s">
        <v>177</v>
      </c>
      <c r="E125" s="1" t="s">
        <v>242</v>
      </c>
      <c r="F125" s="1" t="s">
        <v>39</v>
      </c>
      <c r="G125" s="1" t="str">
        <f>"03772490375"</f>
        <v>03772490375</v>
      </c>
      <c r="I125" s="1" t="s">
        <v>243</v>
      </c>
      <c r="L125" s="1" t="s">
        <v>43</v>
      </c>
      <c r="M125" s="1">
        <v>2050000</v>
      </c>
      <c r="AG125" s="1">
        <v>319796.65999999997</v>
      </c>
      <c r="AH125" s="2">
        <v>45108</v>
      </c>
      <c r="AI125" s="2">
        <v>45657</v>
      </c>
      <c r="AJ125" s="2">
        <v>45108</v>
      </c>
    </row>
    <row r="126" spans="1:36">
      <c r="A126" s="1" t="str">
        <f>"ZB23BC0F68"</f>
        <v>ZB23BC0F68</v>
      </c>
      <c r="B126" s="1" t="str">
        <f t="shared" si="1"/>
        <v>02406911202</v>
      </c>
      <c r="C126" s="1" t="s">
        <v>13</v>
      </c>
      <c r="D126" s="1" t="s">
        <v>180</v>
      </c>
      <c r="E126" s="1" t="s">
        <v>244</v>
      </c>
      <c r="F126" s="1" t="s">
        <v>158</v>
      </c>
      <c r="G126" s="1" t="str">
        <f>"03260081207"</f>
        <v>03260081207</v>
      </c>
      <c r="I126" s="1" t="s">
        <v>245</v>
      </c>
      <c r="L126" s="1" t="s">
        <v>43</v>
      </c>
      <c r="M126" s="1">
        <v>6000</v>
      </c>
      <c r="AG126" s="1">
        <v>2020</v>
      </c>
      <c r="AH126" s="2">
        <v>45110</v>
      </c>
      <c r="AI126" s="2">
        <v>45291</v>
      </c>
      <c r="AJ126" s="2">
        <v>45110</v>
      </c>
    </row>
    <row r="127" spans="1:36">
      <c r="A127" s="1" t="str">
        <f>"9938258DEF"</f>
        <v>9938258DEF</v>
      </c>
      <c r="B127" s="1" t="str">
        <f t="shared" si="1"/>
        <v>02406911202</v>
      </c>
      <c r="C127" s="1" t="s">
        <v>13</v>
      </c>
      <c r="D127" s="1" t="s">
        <v>167</v>
      </c>
      <c r="E127" s="1" t="s">
        <v>246</v>
      </c>
      <c r="F127" s="1" t="s">
        <v>151</v>
      </c>
      <c r="G127" s="1" t="str">
        <f>"03524050238"</f>
        <v>03524050238</v>
      </c>
      <c r="I127" s="1" t="s">
        <v>171</v>
      </c>
      <c r="L127" s="1" t="s">
        <v>43</v>
      </c>
      <c r="M127" s="1">
        <v>316497.24</v>
      </c>
      <c r="AG127" s="1">
        <v>1856.64</v>
      </c>
      <c r="AH127" s="2">
        <v>45108</v>
      </c>
      <c r="AI127" s="2">
        <v>46185</v>
      </c>
      <c r="AJ127" s="2">
        <v>45108</v>
      </c>
    </row>
    <row r="128" spans="1:36">
      <c r="A128" s="1" t="str">
        <f>"99384940B4"</f>
        <v>99384940B4</v>
      </c>
      <c r="B128" s="1" t="str">
        <f t="shared" si="1"/>
        <v>02406911202</v>
      </c>
      <c r="C128" s="1" t="s">
        <v>13</v>
      </c>
      <c r="D128" s="1" t="s">
        <v>167</v>
      </c>
      <c r="E128" s="1" t="s">
        <v>247</v>
      </c>
      <c r="F128" s="1" t="s">
        <v>151</v>
      </c>
      <c r="G128" s="1" t="str">
        <f>"10634380017"</f>
        <v>10634380017</v>
      </c>
      <c r="I128" s="1" t="s">
        <v>248</v>
      </c>
      <c r="L128" s="1" t="s">
        <v>43</v>
      </c>
      <c r="M128" s="1">
        <v>192985.5</v>
      </c>
      <c r="AG128" s="1">
        <v>23872.49</v>
      </c>
      <c r="AH128" s="2">
        <v>45108</v>
      </c>
      <c r="AI128" s="2">
        <v>46179</v>
      </c>
      <c r="AJ128" s="2">
        <v>45108</v>
      </c>
    </row>
    <row r="129" spans="1:36">
      <c r="A129" s="1" t="str">
        <f>"9938371B30"</f>
        <v>9938371B30</v>
      </c>
      <c r="B129" s="1" t="str">
        <f t="shared" si="1"/>
        <v>02406911202</v>
      </c>
      <c r="C129" s="1" t="s">
        <v>13</v>
      </c>
      <c r="D129" s="1" t="s">
        <v>167</v>
      </c>
      <c r="E129" s="1" t="s">
        <v>249</v>
      </c>
      <c r="F129" s="1" t="s">
        <v>151</v>
      </c>
      <c r="G129" s="1" t="str">
        <f>"02401440157"</f>
        <v>02401440157</v>
      </c>
      <c r="I129" s="1" t="s">
        <v>250</v>
      </c>
      <c r="L129" s="1" t="s">
        <v>43</v>
      </c>
      <c r="M129" s="1">
        <v>1505237.64</v>
      </c>
      <c r="AG129" s="1">
        <v>29402.799999999999</v>
      </c>
      <c r="AH129" s="2">
        <v>45108</v>
      </c>
      <c r="AI129" s="2">
        <v>46179</v>
      </c>
      <c r="AJ129" s="2">
        <v>45108</v>
      </c>
    </row>
    <row r="130" spans="1:36">
      <c r="A130" s="1" t="str">
        <f>"Z6C3BC57B9"</f>
        <v>Z6C3BC57B9</v>
      </c>
      <c r="B130" s="1" t="str">
        <f t="shared" ref="B130:B193" si="2">"02406911202"</f>
        <v>02406911202</v>
      </c>
      <c r="C130" s="1" t="s">
        <v>13</v>
      </c>
      <c r="D130" s="1" t="s">
        <v>180</v>
      </c>
      <c r="E130" s="1" t="s">
        <v>220</v>
      </c>
      <c r="F130" s="1" t="s">
        <v>158</v>
      </c>
      <c r="G130" s="1" t="str">
        <f>"02504130366"</f>
        <v>02504130366</v>
      </c>
      <c r="I130" s="1" t="s">
        <v>251</v>
      </c>
      <c r="L130" s="1" t="s">
        <v>43</v>
      </c>
      <c r="M130" s="1">
        <v>6000</v>
      </c>
      <c r="AG130" s="1">
        <v>3382.4</v>
      </c>
      <c r="AH130" s="2">
        <v>45111</v>
      </c>
      <c r="AI130" s="2">
        <v>45291</v>
      </c>
      <c r="AJ130" s="2">
        <v>45111</v>
      </c>
    </row>
    <row r="131" spans="1:36">
      <c r="A131" s="1" t="str">
        <f>"Z1A3BC36D6"</f>
        <v>Z1A3BC36D6</v>
      </c>
      <c r="B131" s="1" t="str">
        <f t="shared" si="2"/>
        <v>02406911202</v>
      </c>
      <c r="C131" s="1" t="s">
        <v>13</v>
      </c>
      <c r="D131" s="1" t="s">
        <v>167</v>
      </c>
      <c r="E131" s="1" t="s">
        <v>252</v>
      </c>
      <c r="F131" s="1" t="s">
        <v>151</v>
      </c>
      <c r="G131" s="1" t="str">
        <f>"01990200170"</f>
        <v>01990200170</v>
      </c>
      <c r="I131" s="1" t="s">
        <v>253</v>
      </c>
      <c r="L131" s="1" t="s">
        <v>43</v>
      </c>
      <c r="M131" s="1">
        <v>20050</v>
      </c>
      <c r="AG131" s="1">
        <v>6050</v>
      </c>
      <c r="AH131" s="2">
        <v>45108</v>
      </c>
      <c r="AI131" s="2">
        <v>45291</v>
      </c>
      <c r="AJ131" s="2">
        <v>45108</v>
      </c>
    </row>
    <row r="132" spans="1:36">
      <c r="A132" s="1" t="str">
        <f>"ZCF3BC57EF"</f>
        <v>ZCF3BC57EF</v>
      </c>
      <c r="B132" s="1" t="str">
        <f t="shared" si="2"/>
        <v>02406911202</v>
      </c>
      <c r="C132" s="1" t="s">
        <v>13</v>
      </c>
      <c r="D132" s="1" t="s">
        <v>180</v>
      </c>
      <c r="E132" s="1" t="s">
        <v>220</v>
      </c>
      <c r="F132" s="1" t="s">
        <v>158</v>
      </c>
      <c r="G132" s="1" t="str">
        <f>"03597020373"</f>
        <v>03597020373</v>
      </c>
      <c r="I132" s="1" t="s">
        <v>254</v>
      </c>
      <c r="L132" s="1" t="s">
        <v>43</v>
      </c>
      <c r="M132" s="1">
        <v>6000</v>
      </c>
      <c r="AG132" s="1">
        <v>5824</v>
      </c>
      <c r="AH132" s="2">
        <v>45111</v>
      </c>
      <c r="AI132" s="2">
        <v>45291</v>
      </c>
      <c r="AJ132" s="2">
        <v>45111</v>
      </c>
    </row>
    <row r="133" spans="1:36">
      <c r="A133" s="1" t="str">
        <f>"9923830B93"</f>
        <v>9923830B93</v>
      </c>
      <c r="B133" s="1" t="str">
        <f t="shared" si="2"/>
        <v>02406911202</v>
      </c>
      <c r="C133" s="1" t="s">
        <v>13</v>
      </c>
      <c r="D133" s="1" t="s">
        <v>177</v>
      </c>
      <c r="E133" s="1" t="s">
        <v>255</v>
      </c>
      <c r="F133" s="1" t="s">
        <v>39</v>
      </c>
      <c r="G133" s="1" t="str">
        <f>"04144000371"</f>
        <v>04144000371</v>
      </c>
      <c r="I133" s="1" t="s">
        <v>256</v>
      </c>
      <c r="L133" s="1" t="s">
        <v>43</v>
      </c>
      <c r="M133" s="1">
        <v>73000</v>
      </c>
      <c r="AG133" s="1">
        <v>32604</v>
      </c>
      <c r="AH133" s="2">
        <v>45108</v>
      </c>
      <c r="AI133" s="2">
        <v>45291</v>
      </c>
      <c r="AJ133" s="2">
        <v>45108</v>
      </c>
    </row>
    <row r="134" spans="1:36">
      <c r="A134" s="1" t="str">
        <f>"ZD33BC2AEE"</f>
        <v>ZD33BC2AEE</v>
      </c>
      <c r="B134" s="1" t="str">
        <f t="shared" si="2"/>
        <v>02406911202</v>
      </c>
      <c r="C134" s="1" t="s">
        <v>13</v>
      </c>
      <c r="D134" s="1" t="s">
        <v>186</v>
      </c>
      <c r="E134" s="1" t="s">
        <v>257</v>
      </c>
      <c r="F134" s="1" t="s">
        <v>158</v>
      </c>
      <c r="G134" s="1" t="str">
        <f>"08344720969"</f>
        <v>08344720969</v>
      </c>
      <c r="I134" s="1" t="s">
        <v>258</v>
      </c>
      <c r="L134" s="1" t="s">
        <v>43</v>
      </c>
      <c r="M134" s="1">
        <v>5998.8</v>
      </c>
      <c r="AG134" s="1">
        <v>5750</v>
      </c>
      <c r="AH134" s="2">
        <v>45111</v>
      </c>
      <c r="AI134" s="2">
        <v>45291</v>
      </c>
      <c r="AJ134" s="2">
        <v>45111</v>
      </c>
    </row>
    <row r="135" spans="1:36">
      <c r="A135" s="1" t="str">
        <f>"9922041740"</f>
        <v>9922041740</v>
      </c>
      <c r="B135" s="1" t="str">
        <f t="shared" si="2"/>
        <v>02406911202</v>
      </c>
      <c r="C135" s="1" t="s">
        <v>13</v>
      </c>
      <c r="D135" s="1" t="s">
        <v>186</v>
      </c>
      <c r="E135" s="1" t="s">
        <v>259</v>
      </c>
      <c r="F135" s="1" t="s">
        <v>158</v>
      </c>
      <c r="G135" s="1" t="str">
        <f>"09018810151"</f>
        <v>09018810151</v>
      </c>
      <c r="I135" s="1" t="s">
        <v>203</v>
      </c>
      <c r="L135" s="1" t="s">
        <v>43</v>
      </c>
      <c r="M135" s="1">
        <v>37200</v>
      </c>
      <c r="AG135" s="1">
        <v>3906</v>
      </c>
      <c r="AH135" s="2">
        <v>45111</v>
      </c>
      <c r="AI135" s="2">
        <v>45688</v>
      </c>
      <c r="AJ135" s="2">
        <v>45111</v>
      </c>
    </row>
    <row r="136" spans="1:36">
      <c r="A136" s="1" t="str">
        <f>"Z2B3BC57DA"</f>
        <v>Z2B3BC57DA</v>
      </c>
      <c r="B136" s="1" t="str">
        <f t="shared" si="2"/>
        <v>02406911202</v>
      </c>
      <c r="C136" s="1" t="s">
        <v>13</v>
      </c>
      <c r="D136" s="1" t="s">
        <v>180</v>
      </c>
      <c r="E136" s="1" t="s">
        <v>220</v>
      </c>
      <c r="F136" s="1" t="s">
        <v>158</v>
      </c>
      <c r="G136" s="1" t="str">
        <f>"02790240101"</f>
        <v>02790240101</v>
      </c>
      <c r="I136" s="1" t="s">
        <v>260</v>
      </c>
      <c r="L136" s="1" t="s">
        <v>43</v>
      </c>
      <c r="M136" s="1">
        <v>6000</v>
      </c>
      <c r="AG136" s="1">
        <v>5749.82</v>
      </c>
      <c r="AH136" s="2">
        <v>45111</v>
      </c>
      <c r="AI136" s="2">
        <v>45291</v>
      </c>
      <c r="AJ136" s="2">
        <v>45111</v>
      </c>
    </row>
    <row r="137" spans="1:36">
      <c r="A137" s="1" t="str">
        <f>"9942545FAD"</f>
        <v>9942545FAD</v>
      </c>
      <c r="B137" s="1" t="str">
        <f t="shared" si="2"/>
        <v>02406911202</v>
      </c>
      <c r="C137" s="1" t="s">
        <v>13</v>
      </c>
      <c r="D137" s="1" t="s">
        <v>186</v>
      </c>
      <c r="E137" s="1" t="s">
        <v>261</v>
      </c>
      <c r="F137" s="1" t="s">
        <v>158</v>
      </c>
      <c r="G137" s="1" t="str">
        <f>"02848620163"</f>
        <v>02848620163</v>
      </c>
      <c r="I137" s="1" t="s">
        <v>262</v>
      </c>
      <c r="L137" s="1" t="s">
        <v>43</v>
      </c>
      <c r="M137" s="1">
        <v>39958.199999999997</v>
      </c>
      <c r="AG137" s="1">
        <v>1593</v>
      </c>
      <c r="AH137" s="2">
        <v>45118</v>
      </c>
      <c r="AI137" s="2">
        <v>45688</v>
      </c>
      <c r="AJ137" s="2">
        <v>45118</v>
      </c>
    </row>
    <row r="138" spans="1:36">
      <c r="A138" s="1" t="str">
        <f>"ZB73C353B9"</f>
        <v>ZB73C353B9</v>
      </c>
      <c r="B138" s="1" t="str">
        <f t="shared" si="2"/>
        <v>02406911202</v>
      </c>
      <c r="C138" s="1" t="s">
        <v>13</v>
      </c>
      <c r="D138" s="1" t="s">
        <v>180</v>
      </c>
      <c r="E138" s="1" t="s">
        <v>181</v>
      </c>
      <c r="F138" s="1" t="s">
        <v>158</v>
      </c>
      <c r="G138" s="1" t="str">
        <f>"11654150157"</f>
        <v>11654150157</v>
      </c>
      <c r="I138" s="1" t="s">
        <v>263</v>
      </c>
      <c r="L138" s="1" t="s">
        <v>43</v>
      </c>
      <c r="M138" s="1">
        <v>5000</v>
      </c>
      <c r="AG138" s="1">
        <v>2956.8</v>
      </c>
      <c r="AH138" s="2">
        <v>45161</v>
      </c>
      <c r="AI138" s="2">
        <v>45291</v>
      </c>
      <c r="AJ138" s="2">
        <v>45161</v>
      </c>
    </row>
    <row r="139" spans="1:36">
      <c r="A139" s="1" t="str">
        <f>"ZB73C4287C"</f>
        <v>ZB73C4287C</v>
      </c>
      <c r="B139" s="1" t="str">
        <f t="shared" si="2"/>
        <v>02406911202</v>
      </c>
      <c r="C139" s="1" t="s">
        <v>13</v>
      </c>
      <c r="D139" s="1" t="s">
        <v>264</v>
      </c>
      <c r="E139" s="1" t="s">
        <v>265</v>
      </c>
      <c r="F139" s="1" t="s">
        <v>158</v>
      </c>
      <c r="G139" s="1" t="str">
        <f>"02704520341"</f>
        <v>02704520341</v>
      </c>
      <c r="I139" s="1" t="s">
        <v>266</v>
      </c>
      <c r="L139" s="1" t="s">
        <v>43</v>
      </c>
      <c r="M139" s="1">
        <v>6900</v>
      </c>
      <c r="AG139" s="1">
        <v>0</v>
      </c>
      <c r="AH139" s="2">
        <v>45163</v>
      </c>
      <c r="AI139" s="2">
        <v>45182</v>
      </c>
      <c r="AJ139" s="2">
        <v>45163</v>
      </c>
    </row>
    <row r="140" spans="1:36">
      <c r="A140" s="1" t="str">
        <f>"Z963BEA294"</f>
        <v>Z963BEA294</v>
      </c>
      <c r="B140" s="1" t="str">
        <f t="shared" si="2"/>
        <v>02406911202</v>
      </c>
      <c r="C140" s="1" t="s">
        <v>13</v>
      </c>
      <c r="D140" s="1" t="s">
        <v>177</v>
      </c>
      <c r="E140" s="1" t="s">
        <v>267</v>
      </c>
      <c r="F140" s="1" t="s">
        <v>158</v>
      </c>
      <c r="G140" s="1" t="str">
        <f>"03131021200"</f>
        <v>03131021200</v>
      </c>
      <c r="I140" s="1" t="s">
        <v>268</v>
      </c>
      <c r="L140" s="1" t="s">
        <v>43</v>
      </c>
      <c r="M140" s="1">
        <v>1984500</v>
      </c>
      <c r="AG140" s="1">
        <v>430727.83</v>
      </c>
      <c r="AH140" s="2">
        <v>45108</v>
      </c>
      <c r="AI140" s="2">
        <v>45657</v>
      </c>
      <c r="AJ140" s="2">
        <v>45108</v>
      </c>
    </row>
    <row r="141" spans="1:36">
      <c r="A141" s="1" t="str">
        <f>"Z473BF05E2"</f>
        <v>Z473BF05E2</v>
      </c>
      <c r="B141" s="1" t="str">
        <f t="shared" si="2"/>
        <v>02406911202</v>
      </c>
      <c r="C141" s="1" t="s">
        <v>13</v>
      </c>
      <c r="D141" s="1" t="s">
        <v>177</v>
      </c>
      <c r="E141" s="1" t="s">
        <v>269</v>
      </c>
      <c r="F141" s="1" t="s">
        <v>158</v>
      </c>
      <c r="G141" s="1" t="str">
        <f>"02606891204"</f>
        <v>02606891204</v>
      </c>
      <c r="I141" s="1" t="s">
        <v>240</v>
      </c>
      <c r="L141" s="1" t="s">
        <v>43</v>
      </c>
      <c r="M141" s="1">
        <v>7799724</v>
      </c>
      <c r="AG141" s="1">
        <v>550585.88</v>
      </c>
      <c r="AH141" s="2">
        <v>45108</v>
      </c>
      <c r="AI141" s="2">
        <v>45657</v>
      </c>
      <c r="AJ141" s="2">
        <v>45108</v>
      </c>
    </row>
    <row r="142" spans="1:36">
      <c r="A142" s="1" t="str">
        <f>"Z1D3BEF995"</f>
        <v>Z1D3BEF995</v>
      </c>
      <c r="B142" s="1" t="str">
        <f t="shared" si="2"/>
        <v>02406911202</v>
      </c>
      <c r="C142" s="1" t="s">
        <v>13</v>
      </c>
      <c r="D142" s="1" t="s">
        <v>177</v>
      </c>
      <c r="E142" s="1" t="s">
        <v>270</v>
      </c>
      <c r="F142" s="1" t="s">
        <v>158</v>
      </c>
      <c r="G142" s="1" t="str">
        <f>"00672690377"</f>
        <v>00672690377</v>
      </c>
      <c r="I142" s="1" t="s">
        <v>179</v>
      </c>
      <c r="L142" s="1" t="s">
        <v>43</v>
      </c>
      <c r="M142" s="1">
        <v>476025</v>
      </c>
      <c r="AG142" s="1">
        <v>66196.66</v>
      </c>
      <c r="AH142" s="2">
        <v>45108</v>
      </c>
      <c r="AI142" s="2">
        <v>45657</v>
      </c>
      <c r="AJ142" s="2">
        <v>45108</v>
      </c>
    </row>
    <row r="143" spans="1:36">
      <c r="A143" s="1" t="str">
        <f>"Z863BEFA6E"</f>
        <v>Z863BEFA6E</v>
      </c>
      <c r="B143" s="1" t="str">
        <f t="shared" si="2"/>
        <v>02406911202</v>
      </c>
      <c r="C143" s="1" t="s">
        <v>13</v>
      </c>
      <c r="D143" s="1" t="s">
        <v>177</v>
      </c>
      <c r="E143" s="1" t="s">
        <v>271</v>
      </c>
      <c r="F143" s="1" t="s">
        <v>158</v>
      </c>
      <c r="G143" s="1" t="str">
        <f>"00672690377"</f>
        <v>00672690377</v>
      </c>
      <c r="I143" s="1" t="s">
        <v>179</v>
      </c>
      <c r="L143" s="1" t="s">
        <v>43</v>
      </c>
      <c r="M143" s="1">
        <v>485700</v>
      </c>
      <c r="AG143" s="1">
        <v>39573.89</v>
      </c>
      <c r="AH143" s="2">
        <v>45108</v>
      </c>
      <c r="AI143" s="2">
        <v>45657</v>
      </c>
      <c r="AJ143" s="2">
        <v>45108</v>
      </c>
    </row>
    <row r="144" spans="1:36">
      <c r="A144" s="1" t="str">
        <f>"Z5E3BF0538"</f>
        <v>Z5E3BF0538</v>
      </c>
      <c r="B144" s="1" t="str">
        <f t="shared" si="2"/>
        <v>02406911202</v>
      </c>
      <c r="C144" s="1" t="s">
        <v>13</v>
      </c>
      <c r="D144" s="1" t="s">
        <v>177</v>
      </c>
      <c r="E144" s="1" t="s">
        <v>272</v>
      </c>
      <c r="F144" s="1" t="s">
        <v>158</v>
      </c>
      <c r="G144" s="1" t="str">
        <f>"92049540377"</f>
        <v>92049540377</v>
      </c>
      <c r="I144" s="1" t="s">
        <v>273</v>
      </c>
      <c r="L144" s="1" t="s">
        <v>43</v>
      </c>
      <c r="M144" s="1">
        <v>144750</v>
      </c>
      <c r="AG144" s="1">
        <v>0</v>
      </c>
      <c r="AH144" s="2">
        <v>45108</v>
      </c>
      <c r="AI144" s="2">
        <v>45657</v>
      </c>
      <c r="AJ144" s="2">
        <v>45108</v>
      </c>
    </row>
    <row r="145" spans="1:36">
      <c r="A145" s="1" t="str">
        <f>"Z053BEF709"</f>
        <v>Z053BEF709</v>
      </c>
      <c r="B145" s="1" t="str">
        <f t="shared" si="2"/>
        <v>02406911202</v>
      </c>
      <c r="C145" s="1" t="s">
        <v>13</v>
      </c>
      <c r="D145" s="1" t="s">
        <v>177</v>
      </c>
      <c r="E145" s="1" t="s">
        <v>274</v>
      </c>
      <c r="F145" s="1" t="s">
        <v>158</v>
      </c>
      <c r="G145" s="1" t="str">
        <f>"80099130371"</f>
        <v>80099130371</v>
      </c>
      <c r="I145" s="1" t="s">
        <v>275</v>
      </c>
      <c r="L145" s="1" t="s">
        <v>43</v>
      </c>
      <c r="M145" s="1">
        <v>776400</v>
      </c>
      <c r="AG145" s="1">
        <v>191317.03</v>
      </c>
      <c r="AH145" s="2">
        <v>45108</v>
      </c>
      <c r="AI145" s="2">
        <v>45657</v>
      </c>
      <c r="AJ145" s="2">
        <v>45108</v>
      </c>
    </row>
    <row r="146" spans="1:36">
      <c r="A146" s="1" t="str">
        <f>"ZAC3BEF9E3"</f>
        <v>ZAC3BEF9E3</v>
      </c>
      <c r="B146" s="1" t="str">
        <f t="shared" si="2"/>
        <v>02406911202</v>
      </c>
      <c r="C146" s="1" t="s">
        <v>13</v>
      </c>
      <c r="D146" s="1" t="s">
        <v>177</v>
      </c>
      <c r="E146" s="1" t="s">
        <v>276</v>
      </c>
      <c r="F146" s="1" t="s">
        <v>158</v>
      </c>
      <c r="G146" s="1" t="str">
        <f>"02486641208"</f>
        <v>02486641208</v>
      </c>
      <c r="I146" s="1" t="s">
        <v>194</v>
      </c>
      <c r="L146" s="1" t="s">
        <v>43</v>
      </c>
      <c r="M146" s="1">
        <v>1746750</v>
      </c>
      <c r="AG146" s="1">
        <v>271254.17</v>
      </c>
      <c r="AH146" s="2">
        <v>45108</v>
      </c>
      <c r="AI146" s="2">
        <v>45657</v>
      </c>
      <c r="AJ146" s="2">
        <v>45108</v>
      </c>
    </row>
    <row r="147" spans="1:36">
      <c r="A147" s="1" t="str">
        <f>"ZE53BEFB86"</f>
        <v>ZE53BEFB86</v>
      </c>
      <c r="B147" s="1" t="str">
        <f t="shared" si="2"/>
        <v>02406911202</v>
      </c>
      <c r="C147" s="1" t="s">
        <v>13</v>
      </c>
      <c r="D147" s="1" t="s">
        <v>177</v>
      </c>
      <c r="E147" s="1" t="s">
        <v>277</v>
      </c>
      <c r="F147" s="1" t="s">
        <v>158</v>
      </c>
      <c r="G147" s="1" t="str">
        <f>"80063930376"</f>
        <v>80063930376</v>
      </c>
      <c r="I147" s="1" t="s">
        <v>129</v>
      </c>
      <c r="L147" s="1" t="s">
        <v>43</v>
      </c>
      <c r="M147" s="1">
        <v>1164150</v>
      </c>
      <c r="AG147" s="1">
        <v>311218.59999999998</v>
      </c>
      <c r="AH147" s="2">
        <v>45108</v>
      </c>
      <c r="AI147" s="2">
        <v>45657</v>
      </c>
      <c r="AJ147" s="2">
        <v>45108</v>
      </c>
    </row>
    <row r="148" spans="1:36">
      <c r="A148" s="1" t="str">
        <f>"Z2F3BF0451"</f>
        <v>Z2F3BF0451</v>
      </c>
      <c r="B148" s="1" t="str">
        <f t="shared" si="2"/>
        <v>02406911202</v>
      </c>
      <c r="C148" s="1" t="s">
        <v>13</v>
      </c>
      <c r="D148" s="1" t="s">
        <v>177</v>
      </c>
      <c r="E148" s="1" t="s">
        <v>278</v>
      </c>
      <c r="F148" s="1" t="s">
        <v>158</v>
      </c>
      <c r="G148" s="1" t="str">
        <f>"00672690377"</f>
        <v>00672690377</v>
      </c>
      <c r="I148" s="1" t="s">
        <v>179</v>
      </c>
      <c r="L148" s="1" t="s">
        <v>43</v>
      </c>
      <c r="M148" s="1">
        <v>1962000</v>
      </c>
      <c r="AG148" s="1">
        <v>384349.26</v>
      </c>
      <c r="AH148" s="2">
        <v>45108</v>
      </c>
      <c r="AI148" s="2">
        <v>45657</v>
      </c>
      <c r="AJ148" s="2">
        <v>45108</v>
      </c>
    </row>
    <row r="149" spans="1:36">
      <c r="A149" s="1" t="str">
        <f>"Z4F3C05C43"</f>
        <v>Z4F3C05C43</v>
      </c>
      <c r="B149" s="1" t="str">
        <f t="shared" si="2"/>
        <v>02406911202</v>
      </c>
      <c r="C149" s="1" t="s">
        <v>13</v>
      </c>
      <c r="D149" s="1" t="s">
        <v>180</v>
      </c>
      <c r="E149" s="1" t="s">
        <v>279</v>
      </c>
      <c r="F149" s="1" t="s">
        <v>158</v>
      </c>
      <c r="G149" s="1" t="str">
        <f>"03969290166"</f>
        <v>03969290166</v>
      </c>
      <c r="I149" s="1" t="s">
        <v>280</v>
      </c>
      <c r="L149" s="1" t="s">
        <v>43</v>
      </c>
      <c r="M149" s="1">
        <v>5000</v>
      </c>
      <c r="AG149" s="1">
        <v>1674</v>
      </c>
      <c r="AH149" s="2">
        <v>45133</v>
      </c>
      <c r="AI149" s="2">
        <v>45657</v>
      </c>
      <c r="AJ149" s="2">
        <v>45133</v>
      </c>
    </row>
    <row r="150" spans="1:36">
      <c r="A150" s="1" t="str">
        <f>"ZF33C05C58"</f>
        <v>ZF33C05C58</v>
      </c>
      <c r="B150" s="1" t="str">
        <f t="shared" si="2"/>
        <v>02406911202</v>
      </c>
      <c r="C150" s="1" t="s">
        <v>13</v>
      </c>
      <c r="D150" s="1" t="s">
        <v>180</v>
      </c>
      <c r="E150" s="1" t="s">
        <v>281</v>
      </c>
      <c r="F150" s="1" t="s">
        <v>158</v>
      </c>
      <c r="G150" s="1" t="str">
        <f>"07972521210"</f>
        <v>07972521210</v>
      </c>
      <c r="I150" s="1" t="s">
        <v>282</v>
      </c>
      <c r="L150" s="1" t="s">
        <v>43</v>
      </c>
      <c r="M150" s="1">
        <v>6100</v>
      </c>
      <c r="AG150" s="1">
        <v>4350</v>
      </c>
      <c r="AH150" s="2">
        <v>45133</v>
      </c>
      <c r="AI150" s="2">
        <v>45291</v>
      </c>
      <c r="AJ150" s="2">
        <v>45133</v>
      </c>
    </row>
    <row r="151" spans="1:36">
      <c r="A151" s="1" t="str">
        <f>"Z9E3C22DB5"</f>
        <v>Z9E3C22DB5</v>
      </c>
      <c r="B151" s="1" t="str">
        <f t="shared" si="2"/>
        <v>02406911202</v>
      </c>
      <c r="C151" s="1" t="s">
        <v>13</v>
      </c>
      <c r="D151" s="1" t="s">
        <v>186</v>
      </c>
      <c r="E151" s="1" t="s">
        <v>283</v>
      </c>
      <c r="F151" s="1" t="s">
        <v>158</v>
      </c>
      <c r="G151" s="1" t="str">
        <f>"12785290151"</f>
        <v>12785290151</v>
      </c>
      <c r="I151" s="1" t="s">
        <v>284</v>
      </c>
      <c r="L151" s="1" t="s">
        <v>43</v>
      </c>
      <c r="M151" s="1">
        <v>4999</v>
      </c>
      <c r="AG151" s="1">
        <v>0</v>
      </c>
      <c r="AH151" s="2">
        <v>45142</v>
      </c>
      <c r="AI151" s="2">
        <v>46022</v>
      </c>
      <c r="AJ151" s="2">
        <v>45142</v>
      </c>
    </row>
    <row r="152" spans="1:36">
      <c r="A152" s="1" t="str">
        <f>"977891364A"</f>
        <v>977891364A</v>
      </c>
      <c r="B152" s="1" t="str">
        <f t="shared" si="2"/>
        <v>02406911202</v>
      </c>
      <c r="C152" s="1" t="s">
        <v>13</v>
      </c>
      <c r="D152" s="1" t="s">
        <v>167</v>
      </c>
      <c r="E152" s="1" t="s">
        <v>285</v>
      </c>
      <c r="F152" s="1" t="s">
        <v>286</v>
      </c>
      <c r="G152" s="1" t="str">
        <f>"02454830817"</f>
        <v>02454830817</v>
      </c>
      <c r="I152" s="1" t="s">
        <v>287</v>
      </c>
      <c r="L152" s="1" t="s">
        <v>43</v>
      </c>
      <c r="M152" s="1">
        <v>8000</v>
      </c>
      <c r="AG152" s="1">
        <v>8000</v>
      </c>
      <c r="AH152" s="2">
        <v>45113</v>
      </c>
      <c r="AI152" s="2">
        <v>45291</v>
      </c>
      <c r="AJ152" s="2">
        <v>45113</v>
      </c>
    </row>
    <row r="153" spans="1:36">
      <c r="A153" s="1" t="str">
        <f>"9998422ED6"</f>
        <v>9998422ED6</v>
      </c>
      <c r="B153" s="1" t="str">
        <f t="shared" si="2"/>
        <v>02406911202</v>
      </c>
      <c r="C153" s="1" t="s">
        <v>13</v>
      </c>
      <c r="D153" s="1" t="s">
        <v>167</v>
      </c>
      <c r="E153" s="1" t="s">
        <v>288</v>
      </c>
      <c r="F153" s="1" t="s">
        <v>151</v>
      </c>
      <c r="G153" s="1" t="str">
        <f>"12400990151"</f>
        <v>12400990151</v>
      </c>
      <c r="I153" s="1" t="s">
        <v>289</v>
      </c>
      <c r="L153" s="1" t="s">
        <v>43</v>
      </c>
      <c r="M153" s="1">
        <v>66476.259999999995</v>
      </c>
      <c r="AG153" s="1">
        <v>346.88</v>
      </c>
      <c r="AH153" s="2">
        <v>45139</v>
      </c>
      <c r="AI153" s="2">
        <v>45869</v>
      </c>
      <c r="AJ153" s="2">
        <v>45139</v>
      </c>
    </row>
    <row r="154" spans="1:36">
      <c r="A154" s="1" t="str">
        <f>"Z2A3C31E08"</f>
        <v>Z2A3C31E08</v>
      </c>
      <c r="B154" s="1" t="str">
        <f t="shared" si="2"/>
        <v>02406911202</v>
      </c>
      <c r="C154" s="1" t="s">
        <v>13</v>
      </c>
      <c r="D154" s="1" t="s">
        <v>180</v>
      </c>
      <c r="E154" s="1" t="s">
        <v>181</v>
      </c>
      <c r="F154" s="1" t="s">
        <v>158</v>
      </c>
      <c r="G154" s="1" t="str">
        <f>"11654150157"</f>
        <v>11654150157</v>
      </c>
      <c r="I154" s="1" t="s">
        <v>263</v>
      </c>
      <c r="L154" s="1" t="s">
        <v>43</v>
      </c>
      <c r="M154" s="1">
        <v>5000</v>
      </c>
      <c r="AG154" s="1">
        <v>5096.3999999999996</v>
      </c>
      <c r="AH154" s="2">
        <v>45152</v>
      </c>
      <c r="AI154" s="2">
        <v>45291</v>
      </c>
      <c r="AJ154" s="2">
        <v>45152</v>
      </c>
    </row>
    <row r="155" spans="1:36">
      <c r="A155" s="1" t="str">
        <f>"Z193C62100"</f>
        <v>Z193C62100</v>
      </c>
      <c r="B155" s="1" t="str">
        <f t="shared" si="2"/>
        <v>02406911202</v>
      </c>
      <c r="C155" s="1" t="s">
        <v>13</v>
      </c>
      <c r="D155" s="1" t="s">
        <v>186</v>
      </c>
      <c r="E155" s="1" t="s">
        <v>290</v>
      </c>
      <c r="F155" s="1" t="s">
        <v>158</v>
      </c>
      <c r="G155" s="1" t="str">
        <f>"03965831203"</f>
        <v>03965831203</v>
      </c>
      <c r="I155" s="1" t="s">
        <v>291</v>
      </c>
      <c r="L155" s="1" t="s">
        <v>43</v>
      </c>
      <c r="M155" s="1">
        <v>1000</v>
      </c>
      <c r="AG155" s="1">
        <v>0</v>
      </c>
      <c r="AH155" s="2">
        <v>45108</v>
      </c>
      <c r="AI155" s="2">
        <v>45291</v>
      </c>
      <c r="AJ155" s="2">
        <v>45108</v>
      </c>
    </row>
    <row r="156" spans="1:36">
      <c r="A156" s="1" t="str">
        <f>"ZEE3C89410"</f>
        <v>ZEE3C89410</v>
      </c>
      <c r="B156" s="1" t="str">
        <f t="shared" si="2"/>
        <v>02406911202</v>
      </c>
      <c r="C156" s="1" t="s">
        <v>13</v>
      </c>
      <c r="D156" s="1" t="s">
        <v>180</v>
      </c>
      <c r="E156" s="1" t="s">
        <v>292</v>
      </c>
      <c r="F156" s="1" t="s">
        <v>158</v>
      </c>
      <c r="G156" s="1" t="str">
        <f>"00422760587"</f>
        <v>00422760587</v>
      </c>
      <c r="I156" s="1" t="s">
        <v>94</v>
      </c>
      <c r="L156" s="1" t="s">
        <v>43</v>
      </c>
      <c r="M156" s="1">
        <v>5000</v>
      </c>
      <c r="AG156" s="1">
        <v>2317.5</v>
      </c>
      <c r="AH156" s="2">
        <v>45190</v>
      </c>
      <c r="AI156" s="2">
        <v>45291</v>
      </c>
      <c r="AJ156" s="2">
        <v>45190</v>
      </c>
    </row>
    <row r="157" spans="1:36">
      <c r="A157" s="1" t="str">
        <f>"ZAB3C8959D"</f>
        <v>ZAB3C8959D</v>
      </c>
      <c r="B157" s="1" t="str">
        <f t="shared" si="2"/>
        <v>02406911202</v>
      </c>
      <c r="C157" s="1" t="s">
        <v>13</v>
      </c>
      <c r="D157" s="1" t="s">
        <v>180</v>
      </c>
      <c r="E157" s="1" t="s">
        <v>279</v>
      </c>
      <c r="F157" s="1" t="s">
        <v>158</v>
      </c>
      <c r="G157" s="1" t="str">
        <f>"13209130155"</f>
        <v>13209130155</v>
      </c>
      <c r="I157" s="1" t="s">
        <v>293</v>
      </c>
      <c r="L157" s="1" t="s">
        <v>43</v>
      </c>
      <c r="M157" s="1">
        <v>6000</v>
      </c>
      <c r="AG157" s="1">
        <v>5290</v>
      </c>
      <c r="AH157" s="2">
        <v>45190</v>
      </c>
      <c r="AI157" s="2">
        <v>45291</v>
      </c>
      <c r="AJ157" s="2">
        <v>45190</v>
      </c>
    </row>
    <row r="158" spans="1:36">
      <c r="A158" s="1" t="str">
        <f>"Z3B3C3AFCD"</f>
        <v>Z3B3C3AFCD</v>
      </c>
      <c r="B158" s="1" t="str">
        <f t="shared" si="2"/>
        <v>02406911202</v>
      </c>
      <c r="C158" s="1" t="s">
        <v>13</v>
      </c>
      <c r="D158" s="1" t="s">
        <v>264</v>
      </c>
      <c r="E158" s="1" t="s">
        <v>294</v>
      </c>
      <c r="F158" s="1" t="s">
        <v>158</v>
      </c>
      <c r="G158" s="1" t="str">
        <f>"02566840233"</f>
        <v>02566840233</v>
      </c>
      <c r="I158" s="1" t="s">
        <v>295</v>
      </c>
      <c r="L158" s="1" t="s">
        <v>43</v>
      </c>
      <c r="M158" s="1">
        <v>1000</v>
      </c>
      <c r="AG158" s="1">
        <v>389</v>
      </c>
      <c r="AH158" s="2">
        <v>45160</v>
      </c>
      <c r="AI158" s="2">
        <v>45291</v>
      </c>
      <c r="AJ158" s="2">
        <v>45160</v>
      </c>
    </row>
    <row r="159" spans="1:36">
      <c r="A159" s="1" t="str">
        <f>"Z823C3CEB4"</f>
        <v>Z823C3CEB4</v>
      </c>
      <c r="B159" s="1" t="str">
        <f t="shared" si="2"/>
        <v>02406911202</v>
      </c>
      <c r="C159" s="1" t="s">
        <v>13</v>
      </c>
      <c r="D159" s="1" t="s">
        <v>180</v>
      </c>
      <c r="E159" s="1" t="s">
        <v>296</v>
      </c>
      <c r="F159" s="1" t="s">
        <v>158</v>
      </c>
      <c r="G159" s="1" t="str">
        <f>"12300580151"</f>
        <v>12300580151</v>
      </c>
      <c r="I159" s="1" t="s">
        <v>297</v>
      </c>
      <c r="L159" s="1" t="s">
        <v>43</v>
      </c>
      <c r="M159" s="1">
        <v>5000</v>
      </c>
      <c r="AG159" s="1">
        <v>4038</v>
      </c>
      <c r="AH159" s="2">
        <v>45161</v>
      </c>
      <c r="AI159" s="2">
        <v>45291</v>
      </c>
      <c r="AJ159" s="2">
        <v>45161</v>
      </c>
    </row>
    <row r="160" spans="1:36">
      <c r="A160" s="1" t="str">
        <f>"A0064E42C3"</f>
        <v>A0064E42C3</v>
      </c>
      <c r="B160" s="1" t="str">
        <f t="shared" si="2"/>
        <v>02406911202</v>
      </c>
      <c r="C160" s="1" t="s">
        <v>13</v>
      </c>
      <c r="D160" s="1" t="s">
        <v>167</v>
      </c>
      <c r="E160" s="1" t="s">
        <v>298</v>
      </c>
      <c r="F160" s="1" t="s">
        <v>151</v>
      </c>
      <c r="G160" s="1" t="str">
        <f>"00856750153"</f>
        <v>00856750153</v>
      </c>
      <c r="I160" s="1" t="s">
        <v>299</v>
      </c>
      <c r="L160" s="1" t="s">
        <v>43</v>
      </c>
      <c r="M160" s="1">
        <v>599000</v>
      </c>
      <c r="AG160" s="1">
        <v>0</v>
      </c>
      <c r="AH160" s="2">
        <v>45160</v>
      </c>
      <c r="AI160" s="2">
        <v>45657</v>
      </c>
      <c r="AJ160" s="2">
        <v>45160</v>
      </c>
    </row>
    <row r="161" spans="1:36">
      <c r="A161" s="1" t="str">
        <f>"Z483C3E93B"</f>
        <v>Z483C3E93B</v>
      </c>
      <c r="B161" s="1" t="str">
        <f t="shared" si="2"/>
        <v>02406911202</v>
      </c>
      <c r="C161" s="1" t="s">
        <v>13</v>
      </c>
      <c r="D161" s="1" t="s">
        <v>180</v>
      </c>
      <c r="E161" s="1" t="s">
        <v>181</v>
      </c>
      <c r="F161" s="1" t="s">
        <v>158</v>
      </c>
      <c r="G161" s="1" t="str">
        <f>"00492340583"</f>
        <v>00492340583</v>
      </c>
      <c r="I161" s="1" t="s">
        <v>56</v>
      </c>
      <c r="L161" s="1" t="s">
        <v>43</v>
      </c>
      <c r="M161" s="1">
        <v>6000</v>
      </c>
      <c r="AG161" s="1">
        <v>4711.2</v>
      </c>
      <c r="AH161" s="2">
        <v>45162</v>
      </c>
      <c r="AI161" s="2">
        <v>45657</v>
      </c>
      <c r="AJ161" s="2">
        <v>45162</v>
      </c>
    </row>
    <row r="162" spans="1:36">
      <c r="A162" s="1" t="str">
        <f>"ZE73C3EDD9"</f>
        <v>ZE73C3EDD9</v>
      </c>
      <c r="B162" s="1" t="str">
        <f t="shared" si="2"/>
        <v>02406911202</v>
      </c>
      <c r="C162" s="1" t="s">
        <v>13</v>
      </c>
      <c r="D162" s="1" t="s">
        <v>180</v>
      </c>
      <c r="E162" s="1" t="s">
        <v>296</v>
      </c>
      <c r="F162" s="1" t="s">
        <v>158</v>
      </c>
      <c r="G162" s="1" t="str">
        <f>"09018810151"</f>
        <v>09018810151</v>
      </c>
      <c r="I162" s="1" t="s">
        <v>203</v>
      </c>
      <c r="L162" s="1" t="s">
        <v>43</v>
      </c>
      <c r="M162" s="1">
        <v>5000</v>
      </c>
      <c r="AG162" s="1">
        <v>1226.7</v>
      </c>
      <c r="AH162" s="2">
        <v>45162</v>
      </c>
      <c r="AI162" s="2">
        <v>45291</v>
      </c>
      <c r="AJ162" s="2">
        <v>45162</v>
      </c>
    </row>
    <row r="163" spans="1:36">
      <c r="A163" s="1" t="str">
        <f>"Z4B3C41D06"</f>
        <v>Z4B3C41D06</v>
      </c>
      <c r="B163" s="1" t="str">
        <f t="shared" si="2"/>
        <v>02406911202</v>
      </c>
      <c r="C163" s="1" t="s">
        <v>13</v>
      </c>
      <c r="D163" s="1" t="s">
        <v>180</v>
      </c>
      <c r="E163" s="1" t="s">
        <v>300</v>
      </c>
      <c r="F163" s="1" t="s">
        <v>158</v>
      </c>
      <c r="G163" s="1" t="str">
        <f>"10181220152"</f>
        <v>10181220152</v>
      </c>
      <c r="I163" s="1" t="s">
        <v>301</v>
      </c>
      <c r="L163" s="1" t="s">
        <v>43</v>
      </c>
      <c r="M163" s="1">
        <v>39999</v>
      </c>
      <c r="AG163" s="1">
        <v>17950</v>
      </c>
      <c r="AH163" s="2">
        <v>45163</v>
      </c>
      <c r="AI163" s="2">
        <v>45291</v>
      </c>
      <c r="AJ163" s="2">
        <v>45163</v>
      </c>
    </row>
    <row r="164" spans="1:36">
      <c r="A164" s="1" t="str">
        <f>"ZD43C49A31"</f>
        <v>ZD43C49A31</v>
      </c>
      <c r="B164" s="1" t="str">
        <f t="shared" si="2"/>
        <v>02406911202</v>
      </c>
      <c r="C164" s="1" t="s">
        <v>13</v>
      </c>
      <c r="D164" s="1" t="s">
        <v>180</v>
      </c>
      <c r="E164" s="1" t="s">
        <v>281</v>
      </c>
      <c r="F164" s="1" t="s">
        <v>158</v>
      </c>
      <c r="G164" s="1" t="str">
        <f>"04289840268"</f>
        <v>04289840268</v>
      </c>
      <c r="I164" s="1" t="s">
        <v>302</v>
      </c>
      <c r="L164" s="1" t="s">
        <v>43</v>
      </c>
      <c r="M164" s="1">
        <v>6000</v>
      </c>
      <c r="AG164" s="1">
        <v>6123.4</v>
      </c>
      <c r="AH164" s="2">
        <v>45168</v>
      </c>
      <c r="AI164" s="2">
        <v>45291</v>
      </c>
      <c r="AJ164" s="2">
        <v>45168</v>
      </c>
    </row>
    <row r="165" spans="1:36">
      <c r="A165" s="1" t="str">
        <f>"Z233C19DC3"</f>
        <v>Z233C19DC3</v>
      </c>
      <c r="B165" s="1" t="str">
        <f t="shared" si="2"/>
        <v>02406911202</v>
      </c>
      <c r="C165" s="1" t="s">
        <v>13</v>
      </c>
      <c r="D165" s="1" t="s">
        <v>186</v>
      </c>
      <c r="E165" s="1" t="s">
        <v>303</v>
      </c>
      <c r="F165" s="1" t="s">
        <v>158</v>
      </c>
      <c r="G165" s="1" t="str">
        <f>"01464500998"</f>
        <v>01464500998</v>
      </c>
      <c r="I165" s="1" t="s">
        <v>304</v>
      </c>
      <c r="L165" s="1" t="s">
        <v>43</v>
      </c>
      <c r="M165" s="1">
        <v>12000</v>
      </c>
      <c r="AG165" s="1">
        <v>0</v>
      </c>
      <c r="AH165" s="2">
        <v>45169</v>
      </c>
      <c r="AI165" s="2">
        <v>45443</v>
      </c>
      <c r="AJ165" s="2">
        <v>45169</v>
      </c>
    </row>
    <row r="166" spans="1:36">
      <c r="A166" s="1" t="str">
        <f>"A0087289A3"</f>
        <v>A0087289A3</v>
      </c>
      <c r="B166" s="1" t="str">
        <f t="shared" si="2"/>
        <v>02406911202</v>
      </c>
      <c r="C166" s="1" t="s">
        <v>13</v>
      </c>
      <c r="D166" s="1" t="s">
        <v>167</v>
      </c>
      <c r="E166" s="1" t="s">
        <v>305</v>
      </c>
      <c r="F166" s="1" t="s">
        <v>151</v>
      </c>
      <c r="G166" s="1" t="str">
        <f>"02348611209"</f>
        <v>02348611209</v>
      </c>
      <c r="I166" s="1" t="s">
        <v>306</v>
      </c>
      <c r="L166" s="1" t="s">
        <v>43</v>
      </c>
      <c r="M166" s="1">
        <v>50000</v>
      </c>
      <c r="AG166" s="1">
        <v>0</v>
      </c>
      <c r="AH166" s="2">
        <v>45167</v>
      </c>
      <c r="AI166" s="2">
        <v>45528</v>
      </c>
      <c r="AJ166" s="2">
        <v>45167</v>
      </c>
    </row>
    <row r="167" spans="1:36">
      <c r="A167" s="1" t="str">
        <f>"Z483C52EBF"</f>
        <v>Z483C52EBF</v>
      </c>
      <c r="B167" s="1" t="str">
        <f t="shared" si="2"/>
        <v>02406911202</v>
      </c>
      <c r="C167" s="1" t="s">
        <v>13</v>
      </c>
      <c r="D167" s="1" t="s">
        <v>186</v>
      </c>
      <c r="E167" s="1" t="s">
        <v>307</v>
      </c>
      <c r="F167" s="1" t="s">
        <v>158</v>
      </c>
      <c r="G167" s="1" t="str">
        <f>"02125550349"</f>
        <v>02125550349</v>
      </c>
      <c r="I167" s="1" t="s">
        <v>308</v>
      </c>
      <c r="L167" s="1" t="s">
        <v>43</v>
      </c>
      <c r="M167" s="1">
        <v>5998.8</v>
      </c>
      <c r="AG167" s="1">
        <v>3176.4</v>
      </c>
      <c r="AH167" s="2">
        <v>45170</v>
      </c>
      <c r="AI167" s="2">
        <v>45657</v>
      </c>
      <c r="AJ167" s="2">
        <v>45170</v>
      </c>
    </row>
    <row r="168" spans="1:36">
      <c r="A168" s="1" t="str">
        <f>"ZFA3C530A4"</f>
        <v>ZFA3C530A4</v>
      </c>
      <c r="B168" s="1" t="str">
        <f t="shared" si="2"/>
        <v>02406911202</v>
      </c>
      <c r="C168" s="1" t="s">
        <v>13</v>
      </c>
      <c r="D168" s="1" t="s">
        <v>264</v>
      </c>
      <c r="E168" s="1" t="s">
        <v>309</v>
      </c>
      <c r="F168" s="1" t="s">
        <v>158</v>
      </c>
      <c r="G168" s="1" t="str">
        <f>"12693140159"</f>
        <v>12693140159</v>
      </c>
      <c r="I168" s="1" t="s">
        <v>310</v>
      </c>
      <c r="L168" s="1" t="s">
        <v>43</v>
      </c>
      <c r="M168" s="1">
        <v>1000</v>
      </c>
      <c r="AG168" s="1">
        <v>132</v>
      </c>
      <c r="AH168" s="2">
        <v>45170</v>
      </c>
      <c r="AI168" s="2">
        <v>45291</v>
      </c>
      <c r="AJ168" s="2">
        <v>45170</v>
      </c>
    </row>
    <row r="169" spans="1:36">
      <c r="A169" s="1" t="str">
        <f>"A009EA6C8B"</f>
        <v>A009EA6C8B</v>
      </c>
      <c r="B169" s="1" t="str">
        <f t="shared" si="2"/>
        <v>02406911202</v>
      </c>
      <c r="C169" s="1" t="s">
        <v>13</v>
      </c>
      <c r="D169" s="1" t="s">
        <v>167</v>
      </c>
      <c r="E169" s="1" t="s">
        <v>311</v>
      </c>
      <c r="F169" s="1" t="s">
        <v>39</v>
      </c>
      <c r="G169" s="1" t="str">
        <f>"00076670595"</f>
        <v>00076670595</v>
      </c>
      <c r="I169" s="1" t="s">
        <v>219</v>
      </c>
      <c r="L169" s="1" t="s">
        <v>43</v>
      </c>
      <c r="M169" s="1">
        <v>374736</v>
      </c>
      <c r="AG169" s="1">
        <v>0</v>
      </c>
      <c r="AH169" s="2">
        <v>45170</v>
      </c>
      <c r="AI169" s="2">
        <v>45351</v>
      </c>
      <c r="AJ169" s="2">
        <v>45170</v>
      </c>
    </row>
    <row r="170" spans="1:36">
      <c r="A170" s="1" t="str">
        <f>"ZCE3BD2D68"</f>
        <v>ZCE3BD2D68</v>
      </c>
      <c r="B170" s="1" t="str">
        <f t="shared" si="2"/>
        <v>02406911202</v>
      </c>
      <c r="C170" s="1" t="s">
        <v>13</v>
      </c>
      <c r="D170" s="1" t="s">
        <v>177</v>
      </c>
      <c r="E170" s="1" t="s">
        <v>312</v>
      </c>
      <c r="F170" s="1" t="s">
        <v>158</v>
      </c>
      <c r="G170" s="1" t="str">
        <f>"08438570965"</f>
        <v>08438570965</v>
      </c>
      <c r="I170" s="1" t="s">
        <v>313</v>
      </c>
      <c r="L170" s="1" t="s">
        <v>43</v>
      </c>
      <c r="M170" s="1">
        <v>39900</v>
      </c>
      <c r="AG170" s="1">
        <v>0</v>
      </c>
      <c r="AH170" s="2">
        <v>45113</v>
      </c>
      <c r="AI170" s="2">
        <v>45657</v>
      </c>
      <c r="AJ170" s="2">
        <v>45113</v>
      </c>
    </row>
    <row r="171" spans="1:36">
      <c r="A171" s="1" t="str">
        <f>"ZF63BE0034"</f>
        <v>ZF63BE0034</v>
      </c>
      <c r="B171" s="1" t="str">
        <f t="shared" si="2"/>
        <v>02406911202</v>
      </c>
      <c r="C171" s="1" t="s">
        <v>13</v>
      </c>
      <c r="D171" s="1" t="s">
        <v>180</v>
      </c>
      <c r="E171" s="1" t="s">
        <v>220</v>
      </c>
      <c r="F171" s="1" t="s">
        <v>158</v>
      </c>
      <c r="G171" s="1" t="str">
        <f>"02615000367"</f>
        <v>02615000367</v>
      </c>
      <c r="I171" s="1" t="s">
        <v>314</v>
      </c>
      <c r="L171" s="1" t="s">
        <v>43</v>
      </c>
      <c r="M171" s="1">
        <v>6000</v>
      </c>
      <c r="AG171" s="1">
        <v>4880</v>
      </c>
      <c r="AH171" s="2">
        <v>45127</v>
      </c>
      <c r="AI171" s="2">
        <v>45657</v>
      </c>
      <c r="AJ171" s="2">
        <v>45127</v>
      </c>
    </row>
    <row r="172" spans="1:36">
      <c r="A172" s="1" t="str">
        <f>"Z643BF7E74"</f>
        <v>Z643BF7E74</v>
      </c>
      <c r="B172" s="1" t="str">
        <f t="shared" si="2"/>
        <v>02406911202</v>
      </c>
      <c r="C172" s="1" t="s">
        <v>13</v>
      </c>
      <c r="D172" s="1" t="s">
        <v>180</v>
      </c>
      <c r="E172" s="1" t="s">
        <v>315</v>
      </c>
      <c r="F172" s="1" t="s">
        <v>158</v>
      </c>
      <c r="G172" s="1" t="str">
        <f>"03338350402"</f>
        <v>03338350402</v>
      </c>
      <c r="I172" s="1" t="s">
        <v>316</v>
      </c>
      <c r="L172" s="1" t="s">
        <v>43</v>
      </c>
      <c r="M172" s="1">
        <v>5000</v>
      </c>
      <c r="AG172" s="1">
        <v>1440.03</v>
      </c>
      <c r="AH172" s="2">
        <v>45127</v>
      </c>
      <c r="AI172" s="2">
        <v>45291</v>
      </c>
      <c r="AJ172" s="2">
        <v>45127</v>
      </c>
    </row>
    <row r="173" spans="1:36">
      <c r="A173" s="1" t="str">
        <f>"Z863BFF378"</f>
        <v>Z863BFF378</v>
      </c>
      <c r="B173" s="1" t="str">
        <f t="shared" si="2"/>
        <v>02406911202</v>
      </c>
      <c r="C173" s="1" t="s">
        <v>13</v>
      </c>
      <c r="D173" s="1" t="s">
        <v>177</v>
      </c>
      <c r="E173" s="1" t="s">
        <v>317</v>
      </c>
      <c r="F173" s="1" t="s">
        <v>158</v>
      </c>
      <c r="G173" s="1" t="str">
        <f>"80007750377"</f>
        <v>80007750377</v>
      </c>
      <c r="I173" s="1" t="s">
        <v>318</v>
      </c>
      <c r="L173" s="1" t="s">
        <v>43</v>
      </c>
      <c r="M173" s="1">
        <v>3555000</v>
      </c>
      <c r="AG173" s="1">
        <v>487704.57</v>
      </c>
      <c r="AH173" s="2">
        <v>45108</v>
      </c>
      <c r="AI173" s="2">
        <v>45657</v>
      </c>
      <c r="AJ173" s="2">
        <v>45108</v>
      </c>
    </row>
    <row r="174" spans="1:36">
      <c r="A174" s="1" t="str">
        <f>"A0098A475A"</f>
        <v>A0098A475A</v>
      </c>
      <c r="B174" s="1" t="str">
        <f t="shared" si="2"/>
        <v>02406911202</v>
      </c>
      <c r="C174" s="1" t="s">
        <v>13</v>
      </c>
      <c r="D174" s="1" t="s">
        <v>167</v>
      </c>
      <c r="E174" s="1" t="s">
        <v>319</v>
      </c>
      <c r="F174" s="1" t="s">
        <v>151</v>
      </c>
      <c r="G174" s="1" t="str">
        <f>"02457060032"</f>
        <v>02457060032</v>
      </c>
      <c r="I174" s="1" t="s">
        <v>320</v>
      </c>
      <c r="L174" s="1" t="s">
        <v>43</v>
      </c>
      <c r="M174" s="1">
        <v>46259</v>
      </c>
      <c r="AG174" s="1">
        <v>817.22</v>
      </c>
      <c r="AH174" s="2">
        <v>45170</v>
      </c>
      <c r="AI174" s="2">
        <v>45900</v>
      </c>
      <c r="AJ174" s="2">
        <v>45170</v>
      </c>
    </row>
    <row r="175" spans="1:36">
      <c r="A175" s="1" t="str">
        <f>"Z1E3C4E899"</f>
        <v>Z1E3C4E899</v>
      </c>
      <c r="B175" s="1" t="str">
        <f t="shared" si="2"/>
        <v>02406911202</v>
      </c>
      <c r="C175" s="1" t="s">
        <v>13</v>
      </c>
      <c r="D175" s="1" t="s">
        <v>167</v>
      </c>
      <c r="E175" s="1" t="s">
        <v>319</v>
      </c>
      <c r="F175" s="1" t="s">
        <v>151</v>
      </c>
      <c r="H175" s="1" t="str">
        <f>"00308491521"</f>
        <v>00308491521</v>
      </c>
      <c r="I175" s="1" t="s">
        <v>321</v>
      </c>
      <c r="L175" s="1" t="s">
        <v>43</v>
      </c>
      <c r="M175" s="1">
        <v>22000</v>
      </c>
      <c r="AG175" s="1">
        <v>0</v>
      </c>
      <c r="AH175" s="2">
        <v>45170</v>
      </c>
      <c r="AI175" s="2">
        <v>45900</v>
      </c>
      <c r="AJ175" s="2">
        <v>45170</v>
      </c>
    </row>
    <row r="176" spans="1:36">
      <c r="A176" s="1" t="str">
        <f>"Z3E3C4FB07"</f>
        <v>Z3E3C4FB07</v>
      </c>
      <c r="B176" s="1" t="str">
        <f t="shared" si="2"/>
        <v>02406911202</v>
      </c>
      <c r="C176" s="1" t="s">
        <v>13</v>
      </c>
      <c r="D176" s="1" t="s">
        <v>180</v>
      </c>
      <c r="E176" s="1" t="s">
        <v>181</v>
      </c>
      <c r="F176" s="1" t="s">
        <v>158</v>
      </c>
      <c r="G176" s="1" t="str">
        <f>"07363361218"</f>
        <v>07363361218</v>
      </c>
      <c r="I176" s="1" t="s">
        <v>322</v>
      </c>
      <c r="L176" s="1" t="s">
        <v>43</v>
      </c>
      <c r="M176" s="1">
        <v>5000</v>
      </c>
      <c r="AG176" s="1">
        <v>425.77</v>
      </c>
      <c r="AH176" s="2">
        <v>45169</v>
      </c>
      <c r="AI176" s="2">
        <v>45291</v>
      </c>
      <c r="AJ176" s="2">
        <v>45169</v>
      </c>
    </row>
    <row r="177" spans="1:36">
      <c r="A177" s="1" t="str">
        <f>"ZAF3C4FB17"</f>
        <v>ZAF3C4FB17</v>
      </c>
      <c r="B177" s="1" t="str">
        <f t="shared" si="2"/>
        <v>02406911202</v>
      </c>
      <c r="C177" s="1" t="s">
        <v>13</v>
      </c>
      <c r="D177" s="1" t="s">
        <v>180</v>
      </c>
      <c r="E177" s="1" t="s">
        <v>281</v>
      </c>
      <c r="F177" s="1" t="s">
        <v>158</v>
      </c>
      <c r="G177" s="1" t="str">
        <f>"01057060384"</f>
        <v>01057060384</v>
      </c>
      <c r="I177" s="1" t="s">
        <v>323</v>
      </c>
      <c r="L177" s="1" t="s">
        <v>43</v>
      </c>
      <c r="M177" s="1">
        <v>5000</v>
      </c>
      <c r="AG177" s="1">
        <v>0</v>
      </c>
      <c r="AH177" s="2">
        <v>45169</v>
      </c>
      <c r="AI177" s="2">
        <v>45291</v>
      </c>
      <c r="AJ177" s="2">
        <v>45169</v>
      </c>
    </row>
    <row r="178" spans="1:36">
      <c r="A178" s="1" t="str">
        <f>"ZB83C5B8C9"</f>
        <v>ZB83C5B8C9</v>
      </c>
      <c r="B178" s="1" t="str">
        <f t="shared" si="2"/>
        <v>02406911202</v>
      </c>
      <c r="C178" s="1" t="s">
        <v>13</v>
      </c>
      <c r="D178" s="1" t="s">
        <v>186</v>
      </c>
      <c r="E178" s="1" t="s">
        <v>324</v>
      </c>
      <c r="F178" s="1" t="s">
        <v>158</v>
      </c>
      <c r="G178" s="1" t="str">
        <f>"02236190233"</f>
        <v>02236190233</v>
      </c>
      <c r="I178" s="1" t="s">
        <v>325</v>
      </c>
      <c r="L178" s="1" t="s">
        <v>43</v>
      </c>
      <c r="M178" s="1">
        <v>4999</v>
      </c>
      <c r="AG178" s="1">
        <v>3736.53</v>
      </c>
      <c r="AH178" s="2">
        <v>45175</v>
      </c>
      <c r="AI178" s="2">
        <v>46022</v>
      </c>
      <c r="AJ178" s="2">
        <v>45175</v>
      </c>
    </row>
    <row r="179" spans="1:36">
      <c r="A179" s="1" t="str">
        <f>"ZCF3C3253F"</f>
        <v>ZCF3C3253F</v>
      </c>
      <c r="B179" s="1" t="str">
        <f t="shared" si="2"/>
        <v>02406911202</v>
      </c>
      <c r="C179" s="1" t="s">
        <v>13</v>
      </c>
      <c r="D179" s="1" t="s">
        <v>180</v>
      </c>
      <c r="E179" s="1" t="s">
        <v>296</v>
      </c>
      <c r="F179" s="1" t="s">
        <v>158</v>
      </c>
      <c r="G179" s="1" t="str">
        <f>"03992220966"</f>
        <v>03992220966</v>
      </c>
      <c r="I179" s="1" t="s">
        <v>122</v>
      </c>
      <c r="L179" s="1" t="s">
        <v>43</v>
      </c>
      <c r="M179" s="1">
        <v>6000</v>
      </c>
      <c r="AG179" s="1">
        <v>3171</v>
      </c>
      <c r="AH179" s="2">
        <v>45152</v>
      </c>
      <c r="AI179" s="2">
        <v>45291</v>
      </c>
      <c r="AJ179" s="2">
        <v>45152</v>
      </c>
    </row>
    <row r="180" spans="1:36">
      <c r="A180" s="1" t="str">
        <f>"Z133C348DB"</f>
        <v>Z133C348DB</v>
      </c>
      <c r="B180" s="1" t="str">
        <f t="shared" si="2"/>
        <v>02406911202</v>
      </c>
      <c r="C180" s="1" t="s">
        <v>13</v>
      </c>
      <c r="D180" s="1" t="s">
        <v>186</v>
      </c>
      <c r="E180" s="1" t="s">
        <v>326</v>
      </c>
      <c r="F180" s="1" t="s">
        <v>158</v>
      </c>
      <c r="G180" s="1" t="str">
        <f>"00759430267"</f>
        <v>00759430267</v>
      </c>
      <c r="I180" s="1" t="s">
        <v>327</v>
      </c>
      <c r="L180" s="1" t="s">
        <v>43</v>
      </c>
      <c r="M180" s="1">
        <v>4999</v>
      </c>
      <c r="AG180" s="1">
        <v>1500</v>
      </c>
      <c r="AH180" s="2">
        <v>45155</v>
      </c>
      <c r="AI180" s="2">
        <v>45322</v>
      </c>
      <c r="AJ180" s="2">
        <v>45155</v>
      </c>
    </row>
    <row r="181" spans="1:36">
      <c r="A181" s="1" t="str">
        <f>"ZB53C35DF8"</f>
        <v>ZB53C35DF8</v>
      </c>
      <c r="B181" s="1" t="str">
        <f t="shared" si="2"/>
        <v>02406911202</v>
      </c>
      <c r="C181" s="1" t="s">
        <v>13</v>
      </c>
      <c r="D181" s="1" t="s">
        <v>180</v>
      </c>
      <c r="E181" s="1" t="s">
        <v>281</v>
      </c>
      <c r="F181" s="1" t="s">
        <v>158</v>
      </c>
      <c r="G181" s="1" t="str">
        <f>"02417881204"</f>
        <v>02417881204</v>
      </c>
      <c r="I181" s="1" t="s">
        <v>328</v>
      </c>
      <c r="L181" s="1" t="s">
        <v>43</v>
      </c>
      <c r="M181" s="1">
        <v>6000</v>
      </c>
      <c r="AG181" s="1">
        <v>6040</v>
      </c>
      <c r="AH181" s="2">
        <v>45156</v>
      </c>
      <c r="AI181" s="2">
        <v>45291</v>
      </c>
      <c r="AJ181" s="2">
        <v>45156</v>
      </c>
    </row>
    <row r="182" spans="1:36">
      <c r="A182" s="1" t="str">
        <f>"Z8D3C35DF9"</f>
        <v>Z8D3C35DF9</v>
      </c>
      <c r="B182" s="1" t="str">
        <f t="shared" si="2"/>
        <v>02406911202</v>
      </c>
      <c r="C182" s="1" t="s">
        <v>13</v>
      </c>
      <c r="D182" s="1" t="s">
        <v>180</v>
      </c>
      <c r="E182" s="1" t="s">
        <v>296</v>
      </c>
      <c r="F182" s="1" t="s">
        <v>158</v>
      </c>
      <c r="G182" s="1" t="str">
        <f>"03524050238"</f>
        <v>03524050238</v>
      </c>
      <c r="I182" s="1" t="s">
        <v>171</v>
      </c>
      <c r="L182" s="1" t="s">
        <v>43</v>
      </c>
      <c r="M182" s="1">
        <v>6000</v>
      </c>
      <c r="AG182" s="1">
        <v>5382.72</v>
      </c>
      <c r="AH182" s="2">
        <v>45156</v>
      </c>
      <c r="AI182" s="2">
        <v>45291</v>
      </c>
      <c r="AJ182" s="2">
        <v>45156</v>
      </c>
    </row>
    <row r="183" spans="1:36">
      <c r="A183" s="1" t="str">
        <f>"ZC73C400AD"</f>
        <v>ZC73C400AD</v>
      </c>
      <c r="B183" s="1" t="str">
        <f t="shared" si="2"/>
        <v>02406911202</v>
      </c>
      <c r="C183" s="1" t="s">
        <v>13</v>
      </c>
      <c r="D183" s="1" t="s">
        <v>180</v>
      </c>
      <c r="E183" s="1" t="s">
        <v>296</v>
      </c>
      <c r="F183" s="1" t="s">
        <v>158</v>
      </c>
      <c r="G183" s="1" t="str">
        <f>"00322800376"</f>
        <v>00322800376</v>
      </c>
      <c r="I183" s="1" t="s">
        <v>329</v>
      </c>
      <c r="L183" s="1" t="s">
        <v>43</v>
      </c>
      <c r="M183" s="1">
        <v>6000</v>
      </c>
      <c r="AG183" s="1">
        <v>3405.92</v>
      </c>
      <c r="AH183" s="2">
        <v>45162</v>
      </c>
      <c r="AI183" s="2">
        <v>45291</v>
      </c>
      <c r="AJ183" s="2">
        <v>45162</v>
      </c>
    </row>
    <row r="184" spans="1:36">
      <c r="A184" s="1" t="str">
        <f>"Z023C40181"</f>
        <v>Z023C40181</v>
      </c>
      <c r="B184" s="1" t="str">
        <f t="shared" si="2"/>
        <v>02406911202</v>
      </c>
      <c r="C184" s="1" t="s">
        <v>13</v>
      </c>
      <c r="D184" s="1" t="s">
        <v>180</v>
      </c>
      <c r="E184" s="1" t="s">
        <v>296</v>
      </c>
      <c r="F184" s="1" t="s">
        <v>158</v>
      </c>
      <c r="G184" s="1" t="str">
        <f>"07862510018"</f>
        <v>07862510018</v>
      </c>
      <c r="I184" s="1" t="s">
        <v>330</v>
      </c>
      <c r="L184" s="1" t="s">
        <v>43</v>
      </c>
      <c r="M184" s="1">
        <v>6000</v>
      </c>
      <c r="AG184" s="1">
        <v>4814</v>
      </c>
      <c r="AH184" s="2">
        <v>45162</v>
      </c>
      <c r="AI184" s="2">
        <v>45291</v>
      </c>
      <c r="AJ184" s="2">
        <v>45162</v>
      </c>
    </row>
    <row r="185" spans="1:36">
      <c r="A185" s="1" t="str">
        <f>"ZBA3C40409"</f>
        <v>ZBA3C40409</v>
      </c>
      <c r="B185" s="1" t="str">
        <f t="shared" si="2"/>
        <v>02406911202</v>
      </c>
      <c r="C185" s="1" t="s">
        <v>13</v>
      </c>
      <c r="D185" s="1" t="s">
        <v>186</v>
      </c>
      <c r="E185" s="1" t="s">
        <v>331</v>
      </c>
      <c r="F185" s="1" t="s">
        <v>158</v>
      </c>
      <c r="G185" s="1" t="str">
        <f>"00615700374"</f>
        <v>00615700374</v>
      </c>
      <c r="I185" s="1" t="s">
        <v>332</v>
      </c>
      <c r="L185" s="1" t="s">
        <v>43</v>
      </c>
      <c r="M185" s="1">
        <v>4999</v>
      </c>
      <c r="AG185" s="1">
        <v>228.7</v>
      </c>
      <c r="AH185" s="2">
        <v>45162</v>
      </c>
      <c r="AI185" s="2">
        <v>45657</v>
      </c>
      <c r="AJ185" s="2">
        <v>45162</v>
      </c>
    </row>
    <row r="186" spans="1:36">
      <c r="A186" s="1" t="str">
        <f>"Z0F3C40407"</f>
        <v>Z0F3C40407</v>
      </c>
      <c r="B186" s="1" t="str">
        <f t="shared" si="2"/>
        <v>02406911202</v>
      </c>
      <c r="C186" s="1" t="s">
        <v>13</v>
      </c>
      <c r="D186" s="1" t="s">
        <v>180</v>
      </c>
      <c r="E186" s="1" t="s">
        <v>281</v>
      </c>
      <c r="F186" s="1" t="s">
        <v>158</v>
      </c>
      <c r="G186" s="1" t="str">
        <f>"10517560156"</f>
        <v>10517560156</v>
      </c>
      <c r="I186" s="1" t="s">
        <v>333</v>
      </c>
      <c r="L186" s="1" t="s">
        <v>43</v>
      </c>
      <c r="M186" s="1">
        <v>6000</v>
      </c>
      <c r="AG186" s="1">
        <v>6078.7</v>
      </c>
      <c r="AH186" s="2">
        <v>45162</v>
      </c>
      <c r="AI186" s="2">
        <v>45291</v>
      </c>
      <c r="AJ186" s="2">
        <v>45162</v>
      </c>
    </row>
    <row r="187" spans="1:36">
      <c r="A187" s="1" t="str">
        <f>"9980522B4B"</f>
        <v>9980522B4B</v>
      </c>
      <c r="B187" s="1" t="str">
        <f t="shared" si="2"/>
        <v>02406911202</v>
      </c>
      <c r="C187" s="1" t="s">
        <v>13</v>
      </c>
      <c r="D187" s="1" t="s">
        <v>167</v>
      </c>
      <c r="E187" s="1" t="s">
        <v>334</v>
      </c>
      <c r="F187" s="1" t="s">
        <v>39</v>
      </c>
      <c r="G187" s="1" t="str">
        <f>"00468270582"</f>
        <v>00468270582</v>
      </c>
      <c r="I187" s="1" t="s">
        <v>47</v>
      </c>
      <c r="L187" s="1" t="s">
        <v>43</v>
      </c>
      <c r="M187" s="1">
        <v>740476.28</v>
      </c>
      <c r="AG187" s="1">
        <v>51316.4</v>
      </c>
      <c r="AH187" s="2">
        <v>45131</v>
      </c>
      <c r="AI187" s="2">
        <v>45473</v>
      </c>
      <c r="AJ187" s="2">
        <v>45131</v>
      </c>
    </row>
    <row r="188" spans="1:36">
      <c r="A188" s="1" t="str">
        <f>"Z5C3C1ECDB"</f>
        <v>Z5C3C1ECDB</v>
      </c>
      <c r="B188" s="1" t="str">
        <f t="shared" si="2"/>
        <v>02406911202</v>
      </c>
      <c r="C188" s="1" t="s">
        <v>13</v>
      </c>
      <c r="D188" s="1" t="s">
        <v>180</v>
      </c>
      <c r="E188" s="1" t="s">
        <v>281</v>
      </c>
      <c r="F188" s="1" t="s">
        <v>158</v>
      </c>
      <c r="G188" s="1" t="str">
        <f>"12572900152"</f>
        <v>12572900152</v>
      </c>
      <c r="I188" s="1" t="s">
        <v>335</v>
      </c>
      <c r="L188" s="1" t="s">
        <v>43</v>
      </c>
      <c r="M188" s="1">
        <v>6000</v>
      </c>
      <c r="AG188" s="1">
        <v>6645.7</v>
      </c>
      <c r="AH188" s="2">
        <v>45141</v>
      </c>
      <c r="AI188" s="2">
        <v>45291</v>
      </c>
      <c r="AJ188" s="2">
        <v>45141</v>
      </c>
    </row>
    <row r="189" spans="1:36">
      <c r="A189" s="1" t="str">
        <f>"ZF53C1ECEA"</f>
        <v>ZF53C1ECEA</v>
      </c>
      <c r="B189" s="1" t="str">
        <f t="shared" si="2"/>
        <v>02406911202</v>
      </c>
      <c r="C189" s="1" t="s">
        <v>13</v>
      </c>
      <c r="D189" s="1" t="s">
        <v>180</v>
      </c>
      <c r="E189" s="1" t="s">
        <v>296</v>
      </c>
      <c r="F189" s="1" t="s">
        <v>158</v>
      </c>
      <c r="G189" s="1" t="str">
        <f>"03692250966"</f>
        <v>03692250966</v>
      </c>
      <c r="I189" s="1" t="s">
        <v>336</v>
      </c>
      <c r="L189" s="1" t="s">
        <v>43</v>
      </c>
      <c r="M189" s="1">
        <v>6000</v>
      </c>
      <c r="AG189" s="1">
        <v>2900</v>
      </c>
      <c r="AH189" s="2">
        <v>45141</v>
      </c>
      <c r="AI189" s="2">
        <v>45291</v>
      </c>
      <c r="AJ189" s="2">
        <v>45141</v>
      </c>
    </row>
    <row r="190" spans="1:36">
      <c r="A190" s="1" t="str">
        <f>"ZE33C47FD7"</f>
        <v>ZE33C47FD7</v>
      </c>
      <c r="B190" s="1" t="str">
        <f t="shared" si="2"/>
        <v>02406911202</v>
      </c>
      <c r="C190" s="1" t="s">
        <v>13</v>
      </c>
      <c r="D190" s="1" t="s">
        <v>167</v>
      </c>
      <c r="E190" s="1" t="s">
        <v>337</v>
      </c>
      <c r="F190" s="1" t="s">
        <v>39</v>
      </c>
      <c r="G190" s="1" t="str">
        <f>"00226250165"</f>
        <v>00226250165</v>
      </c>
      <c r="I190" s="1" t="s">
        <v>98</v>
      </c>
      <c r="L190" s="1" t="s">
        <v>43</v>
      </c>
      <c r="M190" s="1">
        <v>1621.13</v>
      </c>
      <c r="AG190" s="1">
        <v>1296.9000000000001</v>
      </c>
      <c r="AH190" s="2">
        <v>45173</v>
      </c>
      <c r="AI190" s="2">
        <v>45291</v>
      </c>
      <c r="AJ190" s="2">
        <v>45173</v>
      </c>
    </row>
    <row r="191" spans="1:36">
      <c r="A191" s="1" t="str">
        <f>"ZAD3C47FFE"</f>
        <v>ZAD3C47FFE</v>
      </c>
      <c r="B191" s="1" t="str">
        <f t="shared" si="2"/>
        <v>02406911202</v>
      </c>
      <c r="C191" s="1" t="s">
        <v>13</v>
      </c>
      <c r="D191" s="1" t="s">
        <v>167</v>
      </c>
      <c r="E191" s="1" t="s">
        <v>338</v>
      </c>
      <c r="F191" s="1" t="s">
        <v>39</v>
      </c>
      <c r="G191" s="1" t="str">
        <f>"09098120158"</f>
        <v>09098120158</v>
      </c>
      <c r="I191" s="1" t="s">
        <v>99</v>
      </c>
      <c r="L191" s="1" t="s">
        <v>43</v>
      </c>
      <c r="M191" s="1">
        <v>328</v>
      </c>
      <c r="AG191" s="1">
        <v>0</v>
      </c>
      <c r="AH191" s="2">
        <v>45173</v>
      </c>
      <c r="AI191" s="2">
        <v>45565</v>
      </c>
      <c r="AJ191" s="2">
        <v>45173</v>
      </c>
    </row>
    <row r="192" spans="1:36">
      <c r="A192" s="1" t="str">
        <f>"ZDD3C4802F"</f>
        <v>ZDD3C4802F</v>
      </c>
      <c r="B192" s="1" t="str">
        <f t="shared" si="2"/>
        <v>02406911202</v>
      </c>
      <c r="C192" s="1" t="s">
        <v>13</v>
      </c>
      <c r="D192" s="1" t="s">
        <v>167</v>
      </c>
      <c r="E192" s="1" t="s">
        <v>339</v>
      </c>
      <c r="F192" s="1" t="s">
        <v>39</v>
      </c>
      <c r="G192" s="1" t="str">
        <f>"10087630967"</f>
        <v>10087630967</v>
      </c>
      <c r="I192" s="1" t="s">
        <v>101</v>
      </c>
      <c r="L192" s="1" t="s">
        <v>43</v>
      </c>
      <c r="M192" s="1">
        <v>1772.5</v>
      </c>
      <c r="AG192" s="1">
        <v>0</v>
      </c>
      <c r="AH192" s="2">
        <v>45173</v>
      </c>
      <c r="AI192" s="2">
        <v>45565</v>
      </c>
      <c r="AJ192" s="2">
        <v>45173</v>
      </c>
    </row>
    <row r="193" spans="1:36">
      <c r="A193" s="1" t="str">
        <f>"Z3E3C48078"</f>
        <v>Z3E3C48078</v>
      </c>
      <c r="B193" s="1" t="str">
        <f t="shared" si="2"/>
        <v>02406911202</v>
      </c>
      <c r="C193" s="1" t="s">
        <v>13</v>
      </c>
      <c r="D193" s="1" t="s">
        <v>167</v>
      </c>
      <c r="E193" s="1" t="s">
        <v>340</v>
      </c>
      <c r="F193" s="1" t="s">
        <v>39</v>
      </c>
      <c r="G193" s="1" t="str">
        <f>"08427210581"</f>
        <v>08427210581</v>
      </c>
      <c r="I193" s="1" t="s">
        <v>102</v>
      </c>
      <c r="L193" s="1" t="s">
        <v>43</v>
      </c>
      <c r="M193" s="1">
        <v>3825</v>
      </c>
      <c r="AG193" s="1">
        <v>0</v>
      </c>
      <c r="AH193" s="2">
        <v>45173</v>
      </c>
      <c r="AI193" s="2">
        <v>45565</v>
      </c>
      <c r="AJ193" s="2">
        <v>45173</v>
      </c>
    </row>
    <row r="194" spans="1:36">
      <c r="A194" s="1" t="str">
        <f>"ZAC3C5BB6F"</f>
        <v>ZAC3C5BB6F</v>
      </c>
      <c r="B194" s="1" t="str">
        <f t="shared" ref="B194:B257" si="3">"02406911202"</f>
        <v>02406911202</v>
      </c>
      <c r="C194" s="1" t="s">
        <v>13</v>
      </c>
      <c r="D194" s="1" t="s">
        <v>180</v>
      </c>
      <c r="E194" s="1" t="s">
        <v>279</v>
      </c>
      <c r="F194" s="1" t="s">
        <v>158</v>
      </c>
      <c r="G194" s="1" t="str">
        <f>"08126390155"</f>
        <v>08126390155</v>
      </c>
      <c r="I194" s="1" t="s">
        <v>341</v>
      </c>
      <c r="L194" s="1" t="s">
        <v>43</v>
      </c>
      <c r="M194" s="1">
        <v>5000</v>
      </c>
      <c r="AG194" s="1">
        <v>3581.39</v>
      </c>
      <c r="AH194" s="2">
        <v>45175</v>
      </c>
      <c r="AI194" s="2">
        <v>45291</v>
      </c>
      <c r="AJ194" s="2">
        <v>45175</v>
      </c>
    </row>
    <row r="195" spans="1:36">
      <c r="A195" s="1" t="str">
        <f>"ZA33C63A6E"</f>
        <v>ZA33C63A6E</v>
      </c>
      <c r="B195" s="1" t="str">
        <f t="shared" si="3"/>
        <v>02406911202</v>
      </c>
      <c r="C195" s="1" t="s">
        <v>13</v>
      </c>
      <c r="D195" s="1" t="s">
        <v>186</v>
      </c>
      <c r="E195" s="1" t="s">
        <v>342</v>
      </c>
      <c r="F195" s="1" t="s">
        <v>158</v>
      </c>
      <c r="G195" s="1" t="str">
        <f>"02007430370"</f>
        <v>02007430370</v>
      </c>
      <c r="I195" s="1" t="s">
        <v>343</v>
      </c>
      <c r="L195" s="1" t="s">
        <v>43</v>
      </c>
      <c r="M195" s="1">
        <v>4990</v>
      </c>
      <c r="AG195" s="1">
        <v>0</v>
      </c>
      <c r="AH195" s="2">
        <v>45177</v>
      </c>
      <c r="AI195" s="2">
        <v>45291</v>
      </c>
      <c r="AJ195" s="2">
        <v>45177</v>
      </c>
    </row>
    <row r="196" spans="1:36">
      <c r="A196" s="1" t="str">
        <f>"Z033C5DA5C"</f>
        <v>Z033C5DA5C</v>
      </c>
      <c r="B196" s="1" t="str">
        <f t="shared" si="3"/>
        <v>02406911202</v>
      </c>
      <c r="C196" s="1" t="s">
        <v>13</v>
      </c>
      <c r="D196" s="1" t="s">
        <v>264</v>
      </c>
      <c r="E196" s="1" t="s">
        <v>344</v>
      </c>
      <c r="F196" s="1" t="s">
        <v>158</v>
      </c>
      <c r="G196" s="1" t="str">
        <f>"05083750967"</f>
        <v>05083750967</v>
      </c>
      <c r="I196" s="1" t="s">
        <v>345</v>
      </c>
      <c r="L196" s="1" t="s">
        <v>43</v>
      </c>
      <c r="M196" s="1">
        <v>28620</v>
      </c>
      <c r="AG196" s="1">
        <v>0</v>
      </c>
      <c r="AH196" s="2">
        <v>45175</v>
      </c>
      <c r="AI196" s="2">
        <v>45182</v>
      </c>
      <c r="AJ196" s="2">
        <v>45175</v>
      </c>
    </row>
    <row r="197" spans="1:36">
      <c r="A197" s="1" t="str">
        <f>"Z313C5420A"</f>
        <v>Z313C5420A</v>
      </c>
      <c r="B197" s="1" t="str">
        <f t="shared" si="3"/>
        <v>02406911202</v>
      </c>
      <c r="C197" s="1" t="s">
        <v>13</v>
      </c>
      <c r="D197" s="1" t="s">
        <v>186</v>
      </c>
      <c r="E197" s="1" t="s">
        <v>346</v>
      </c>
      <c r="F197" s="1" t="s">
        <v>158</v>
      </c>
      <c r="G197" s="1" t="str">
        <f>"00197370281"</f>
        <v>00197370281</v>
      </c>
      <c r="I197" s="1" t="s">
        <v>347</v>
      </c>
      <c r="L197" s="1" t="s">
        <v>43</v>
      </c>
      <c r="M197" s="1">
        <v>4999</v>
      </c>
      <c r="AG197" s="1">
        <v>0</v>
      </c>
      <c r="AH197" s="2">
        <v>45175</v>
      </c>
      <c r="AI197" s="2">
        <v>45291</v>
      </c>
      <c r="AJ197" s="2">
        <v>45175</v>
      </c>
    </row>
    <row r="198" spans="1:36">
      <c r="A198" s="1" t="str">
        <f>"Z3E3C61858"</f>
        <v>Z3E3C61858</v>
      </c>
      <c r="B198" s="1" t="str">
        <f t="shared" si="3"/>
        <v>02406911202</v>
      </c>
      <c r="C198" s="1" t="s">
        <v>13</v>
      </c>
      <c r="D198" s="1" t="s">
        <v>180</v>
      </c>
      <c r="E198" s="1" t="s">
        <v>181</v>
      </c>
      <c r="F198" s="1" t="s">
        <v>158</v>
      </c>
      <c r="G198" s="1" t="str">
        <f>"11654150157"</f>
        <v>11654150157</v>
      </c>
      <c r="I198" s="1" t="s">
        <v>263</v>
      </c>
      <c r="L198" s="1" t="s">
        <v>43</v>
      </c>
      <c r="M198" s="1">
        <v>6000</v>
      </c>
      <c r="AG198" s="1">
        <v>5763.8</v>
      </c>
      <c r="AH198" s="2">
        <v>45176</v>
      </c>
      <c r="AI198" s="2">
        <v>45291</v>
      </c>
      <c r="AJ198" s="2">
        <v>45176</v>
      </c>
    </row>
    <row r="199" spans="1:36">
      <c r="A199" s="1" t="str">
        <f>"ZE33C4A12D"</f>
        <v>ZE33C4A12D</v>
      </c>
      <c r="B199" s="1" t="str">
        <f t="shared" si="3"/>
        <v>02406911202</v>
      </c>
      <c r="C199" s="1" t="s">
        <v>13</v>
      </c>
      <c r="D199" s="1" t="s">
        <v>180</v>
      </c>
      <c r="E199" s="1" t="s">
        <v>181</v>
      </c>
      <c r="F199" s="1" t="s">
        <v>158</v>
      </c>
      <c r="G199" s="1" t="str">
        <f>"11654150157"</f>
        <v>11654150157</v>
      </c>
      <c r="I199" s="1" t="s">
        <v>263</v>
      </c>
      <c r="L199" s="1" t="s">
        <v>43</v>
      </c>
      <c r="M199" s="1">
        <v>5000</v>
      </c>
      <c r="AG199" s="1">
        <v>1925.6</v>
      </c>
      <c r="AH199" s="2">
        <v>45181</v>
      </c>
      <c r="AI199" s="2">
        <v>45291</v>
      </c>
      <c r="AJ199" s="2">
        <v>45181</v>
      </c>
    </row>
    <row r="200" spans="1:36">
      <c r="A200" s="1" t="str">
        <f>"9877416D87"</f>
        <v>9877416D87</v>
      </c>
      <c r="B200" s="1" t="str">
        <f t="shared" si="3"/>
        <v>02406911202</v>
      </c>
      <c r="C200" s="1" t="s">
        <v>13</v>
      </c>
      <c r="D200" s="1" t="s">
        <v>167</v>
      </c>
      <c r="E200" s="1" t="s">
        <v>348</v>
      </c>
      <c r="F200" s="1" t="s">
        <v>286</v>
      </c>
      <c r="G200" s="1" t="str">
        <f>"02141870341"</f>
        <v>02141870341</v>
      </c>
      <c r="I200" s="1" t="s">
        <v>349</v>
      </c>
      <c r="L200" s="1" t="s">
        <v>43</v>
      </c>
      <c r="M200" s="1">
        <v>58500</v>
      </c>
      <c r="AG200" s="1">
        <v>7712</v>
      </c>
      <c r="AH200" s="2">
        <v>45139</v>
      </c>
      <c r="AI200" s="2">
        <v>45869</v>
      </c>
      <c r="AJ200" s="2">
        <v>45139</v>
      </c>
    </row>
    <row r="201" spans="1:36">
      <c r="A201" s="1" t="str">
        <f>"987775661D"</f>
        <v>987775661D</v>
      </c>
      <c r="B201" s="1" t="str">
        <f t="shared" si="3"/>
        <v>02406911202</v>
      </c>
      <c r="C201" s="1" t="s">
        <v>13</v>
      </c>
      <c r="D201" s="1" t="s">
        <v>167</v>
      </c>
      <c r="E201" s="1" t="s">
        <v>350</v>
      </c>
      <c r="F201" s="1" t="s">
        <v>286</v>
      </c>
      <c r="G201" s="1" t="str">
        <f>"11489570967"</f>
        <v>11489570967</v>
      </c>
      <c r="I201" s="1" t="s">
        <v>351</v>
      </c>
      <c r="L201" s="1" t="s">
        <v>43</v>
      </c>
      <c r="M201" s="1">
        <v>18375</v>
      </c>
      <c r="AG201" s="1">
        <v>0</v>
      </c>
      <c r="AH201" s="2">
        <v>45139</v>
      </c>
      <c r="AI201" s="2">
        <v>45869</v>
      </c>
      <c r="AJ201" s="2">
        <v>45139</v>
      </c>
    </row>
    <row r="202" spans="1:36">
      <c r="A202" s="1" t="str">
        <f>"9961329CBA"</f>
        <v>9961329CBA</v>
      </c>
      <c r="B202" s="1" t="str">
        <f t="shared" si="3"/>
        <v>02406911202</v>
      </c>
      <c r="C202" s="1" t="s">
        <v>13</v>
      </c>
      <c r="D202" s="1" t="s">
        <v>167</v>
      </c>
      <c r="E202" s="1" t="s">
        <v>352</v>
      </c>
      <c r="F202" s="1" t="s">
        <v>151</v>
      </c>
      <c r="G202" s="1" t="str">
        <f>"09238800156"</f>
        <v>09238800156</v>
      </c>
      <c r="I202" s="1" t="s">
        <v>92</v>
      </c>
      <c r="L202" s="1" t="s">
        <v>43</v>
      </c>
      <c r="M202" s="1">
        <v>25650.29</v>
      </c>
      <c r="AG202" s="1">
        <v>0</v>
      </c>
      <c r="AH202" s="2">
        <v>45126</v>
      </c>
      <c r="AI202" s="2">
        <v>45856</v>
      </c>
      <c r="AJ202" s="2">
        <v>45126</v>
      </c>
    </row>
    <row r="203" spans="1:36">
      <c r="A203" s="1" t="str">
        <f>"ZBF3C3FC8F"</f>
        <v>ZBF3C3FC8F</v>
      </c>
      <c r="B203" s="1" t="str">
        <f t="shared" si="3"/>
        <v>02406911202</v>
      </c>
      <c r="C203" s="1" t="s">
        <v>13</v>
      </c>
      <c r="D203" s="1" t="s">
        <v>186</v>
      </c>
      <c r="E203" s="1" t="s">
        <v>353</v>
      </c>
      <c r="F203" s="1" t="s">
        <v>158</v>
      </c>
      <c r="G203" s="1" t="str">
        <f>"03500580372"</f>
        <v>03500580372</v>
      </c>
      <c r="I203" s="1" t="s">
        <v>354</v>
      </c>
      <c r="L203" s="1" t="s">
        <v>43</v>
      </c>
      <c r="M203" s="1">
        <v>502</v>
      </c>
      <c r="AG203" s="1">
        <v>502</v>
      </c>
      <c r="AH203" s="2">
        <v>45139</v>
      </c>
      <c r="AI203" s="2">
        <v>45169</v>
      </c>
      <c r="AJ203" s="2">
        <v>45139</v>
      </c>
    </row>
    <row r="204" spans="1:36">
      <c r="A204" s="1" t="str">
        <f>"Z323C52BC2"</f>
        <v>Z323C52BC2</v>
      </c>
      <c r="B204" s="1" t="str">
        <f t="shared" si="3"/>
        <v>02406911202</v>
      </c>
      <c r="C204" s="1" t="s">
        <v>13</v>
      </c>
      <c r="D204" s="1" t="s">
        <v>180</v>
      </c>
      <c r="E204" s="1" t="s">
        <v>281</v>
      </c>
      <c r="F204" s="1" t="s">
        <v>158</v>
      </c>
      <c r="G204" s="1" t="str">
        <f>"02417881204"</f>
        <v>02417881204</v>
      </c>
      <c r="I204" s="1" t="s">
        <v>328</v>
      </c>
      <c r="L204" s="1" t="s">
        <v>43</v>
      </c>
      <c r="M204" s="1">
        <v>6000</v>
      </c>
      <c r="AG204" s="1">
        <v>3430</v>
      </c>
      <c r="AH204" s="2">
        <v>45170</v>
      </c>
      <c r="AI204" s="2">
        <v>45291</v>
      </c>
      <c r="AJ204" s="2">
        <v>45170</v>
      </c>
    </row>
    <row r="205" spans="1:36">
      <c r="A205" s="1" t="str">
        <f>"Z603C52682"</f>
        <v>Z603C52682</v>
      </c>
      <c r="B205" s="1" t="str">
        <f t="shared" si="3"/>
        <v>02406911202</v>
      </c>
      <c r="C205" s="1" t="s">
        <v>13</v>
      </c>
      <c r="D205" s="1" t="s">
        <v>186</v>
      </c>
      <c r="E205" s="1" t="s">
        <v>355</v>
      </c>
      <c r="F205" s="1" t="s">
        <v>158</v>
      </c>
      <c r="G205" s="1" t="str">
        <f>"02285440398"</f>
        <v>02285440398</v>
      </c>
      <c r="I205" s="1" t="s">
        <v>356</v>
      </c>
      <c r="L205" s="1" t="s">
        <v>43</v>
      </c>
      <c r="M205" s="1">
        <v>4000</v>
      </c>
      <c r="AG205" s="1">
        <v>0</v>
      </c>
      <c r="AH205" s="2">
        <v>45170</v>
      </c>
      <c r="AI205" s="2">
        <v>45291</v>
      </c>
      <c r="AJ205" s="2">
        <v>45170</v>
      </c>
    </row>
    <row r="206" spans="1:36">
      <c r="A206" s="1" t="str">
        <f>"Z123C45A23"</f>
        <v>Z123C45A23</v>
      </c>
      <c r="B206" s="1" t="str">
        <f t="shared" si="3"/>
        <v>02406911202</v>
      </c>
      <c r="C206" s="1" t="s">
        <v>13</v>
      </c>
      <c r="D206" s="1" t="s">
        <v>186</v>
      </c>
      <c r="E206" s="1" t="s">
        <v>357</v>
      </c>
      <c r="F206" s="1" t="s">
        <v>158</v>
      </c>
      <c r="G206" s="1" t="str">
        <f>"00131840357"</f>
        <v>00131840357</v>
      </c>
      <c r="I206" s="1" t="s">
        <v>358</v>
      </c>
      <c r="L206" s="1" t="s">
        <v>43</v>
      </c>
      <c r="M206" s="1">
        <v>1500</v>
      </c>
      <c r="AG206" s="1">
        <v>1469</v>
      </c>
      <c r="AH206" s="2">
        <v>45173</v>
      </c>
      <c r="AI206" s="2">
        <v>45291</v>
      </c>
      <c r="AJ206" s="2">
        <v>45173</v>
      </c>
    </row>
    <row r="207" spans="1:36">
      <c r="A207" s="1" t="str">
        <f>"ZBA3C66BC5"</f>
        <v>ZBA3C66BC5</v>
      </c>
      <c r="B207" s="1" t="str">
        <f t="shared" si="3"/>
        <v>02406911202</v>
      </c>
      <c r="C207" s="1" t="s">
        <v>13</v>
      </c>
      <c r="D207" s="1" t="s">
        <v>264</v>
      </c>
      <c r="E207" s="1" t="s">
        <v>359</v>
      </c>
      <c r="F207" s="1" t="s">
        <v>158</v>
      </c>
      <c r="G207" s="1" t="str">
        <f>"00452440589"</f>
        <v>00452440589</v>
      </c>
      <c r="I207" s="1" t="s">
        <v>360</v>
      </c>
      <c r="L207" s="1" t="s">
        <v>43</v>
      </c>
      <c r="M207" s="1">
        <v>10000</v>
      </c>
      <c r="AG207" s="1">
        <v>0</v>
      </c>
      <c r="AH207" s="2">
        <v>45180</v>
      </c>
      <c r="AI207" s="2">
        <v>45187</v>
      </c>
      <c r="AJ207" s="2">
        <v>45180</v>
      </c>
    </row>
    <row r="208" spans="1:36">
      <c r="A208" s="1" t="str">
        <f>"Z403C6C66D"</f>
        <v>Z403C6C66D</v>
      </c>
      <c r="B208" s="1" t="str">
        <f t="shared" si="3"/>
        <v>02406911202</v>
      </c>
      <c r="C208" s="1" t="s">
        <v>13</v>
      </c>
      <c r="D208" s="1" t="s">
        <v>264</v>
      </c>
      <c r="E208" s="1" t="s">
        <v>361</v>
      </c>
      <c r="F208" s="1" t="s">
        <v>158</v>
      </c>
      <c r="G208" s="1" t="str">
        <f>"04311220265"</f>
        <v>04311220265</v>
      </c>
      <c r="I208" s="1" t="s">
        <v>362</v>
      </c>
      <c r="L208" s="1" t="s">
        <v>43</v>
      </c>
      <c r="M208" s="1">
        <v>1000</v>
      </c>
      <c r="AG208" s="1">
        <v>636</v>
      </c>
      <c r="AH208" s="2">
        <v>45181</v>
      </c>
      <c r="AI208" s="2">
        <v>45291</v>
      </c>
      <c r="AJ208" s="2">
        <v>45181</v>
      </c>
    </row>
    <row r="209" spans="1:36">
      <c r="A209" s="1" t="str">
        <f>"Z653C6DA34"</f>
        <v>Z653C6DA34</v>
      </c>
      <c r="B209" s="1" t="str">
        <f t="shared" si="3"/>
        <v>02406911202</v>
      </c>
      <c r="C209" s="1" t="s">
        <v>13</v>
      </c>
      <c r="D209" s="1" t="s">
        <v>180</v>
      </c>
      <c r="E209" s="1" t="s">
        <v>281</v>
      </c>
      <c r="F209" s="1" t="s">
        <v>158</v>
      </c>
      <c r="G209" s="1" t="str">
        <f>"02417881204"</f>
        <v>02417881204</v>
      </c>
      <c r="I209" s="1" t="s">
        <v>328</v>
      </c>
      <c r="L209" s="1" t="s">
        <v>43</v>
      </c>
      <c r="M209" s="1">
        <v>6000</v>
      </c>
      <c r="AG209" s="1">
        <v>6040</v>
      </c>
      <c r="AH209" s="2">
        <v>45181</v>
      </c>
      <c r="AI209" s="2">
        <v>45291</v>
      </c>
      <c r="AJ209" s="2">
        <v>45181</v>
      </c>
    </row>
    <row r="210" spans="1:36">
      <c r="A210" s="1" t="str">
        <f>"Z673C41BBF"</f>
        <v>Z673C41BBF</v>
      </c>
      <c r="B210" s="1" t="str">
        <f t="shared" si="3"/>
        <v>02406911202</v>
      </c>
      <c r="C210" s="1" t="s">
        <v>13</v>
      </c>
      <c r="D210" s="1" t="s">
        <v>186</v>
      </c>
      <c r="E210" s="1" t="s">
        <v>363</v>
      </c>
      <c r="F210" s="1" t="s">
        <v>158</v>
      </c>
      <c r="G210" s="1" t="str">
        <f>"03587070370"</f>
        <v>03587070370</v>
      </c>
      <c r="I210" s="1" t="s">
        <v>364</v>
      </c>
      <c r="L210" s="1" t="s">
        <v>43</v>
      </c>
      <c r="M210" s="1">
        <v>14588.35</v>
      </c>
      <c r="AG210" s="1">
        <v>4870.3500000000004</v>
      </c>
      <c r="AH210" s="2">
        <v>45181</v>
      </c>
      <c r="AI210" s="2">
        <v>45565</v>
      </c>
      <c r="AJ210" s="2">
        <v>45181</v>
      </c>
    </row>
    <row r="211" spans="1:36">
      <c r="A211" s="1" t="str">
        <f>"98412811FF"</f>
        <v>98412811FF</v>
      </c>
      <c r="B211" s="1" t="str">
        <f t="shared" si="3"/>
        <v>02406911202</v>
      </c>
      <c r="C211" s="1" t="s">
        <v>13</v>
      </c>
      <c r="D211" s="1" t="s">
        <v>167</v>
      </c>
      <c r="E211" s="1" t="s">
        <v>365</v>
      </c>
      <c r="F211" s="1" t="s">
        <v>286</v>
      </c>
      <c r="G211" s="1" t="str">
        <f>"01896541206"</f>
        <v>01896541206</v>
      </c>
      <c r="I211" s="1" t="s">
        <v>366</v>
      </c>
      <c r="L211" s="1" t="s">
        <v>43</v>
      </c>
      <c r="M211" s="1">
        <v>255300</v>
      </c>
      <c r="AG211" s="1">
        <v>0</v>
      </c>
      <c r="AH211" s="2">
        <v>45179</v>
      </c>
      <c r="AI211" s="2">
        <v>45544</v>
      </c>
      <c r="AJ211" s="2">
        <v>45179</v>
      </c>
    </row>
    <row r="212" spans="1:36">
      <c r="A212" s="1" t="str">
        <f>"Z253C41E8C"</f>
        <v>Z253C41E8C</v>
      </c>
      <c r="B212" s="1" t="str">
        <f t="shared" si="3"/>
        <v>02406911202</v>
      </c>
      <c r="C212" s="1" t="s">
        <v>13</v>
      </c>
      <c r="D212" s="1" t="s">
        <v>180</v>
      </c>
      <c r="E212" s="1" t="s">
        <v>281</v>
      </c>
      <c r="F212" s="1" t="s">
        <v>158</v>
      </c>
      <c r="G212" s="1" t="str">
        <f>"10517560156"</f>
        <v>10517560156</v>
      </c>
      <c r="I212" s="1" t="s">
        <v>333</v>
      </c>
      <c r="L212" s="1" t="s">
        <v>43</v>
      </c>
      <c r="M212" s="1">
        <v>6000</v>
      </c>
      <c r="AG212" s="1">
        <v>6023.7</v>
      </c>
      <c r="AH212" s="2">
        <v>45163</v>
      </c>
      <c r="AI212" s="2">
        <v>45291</v>
      </c>
      <c r="AJ212" s="2">
        <v>45163</v>
      </c>
    </row>
    <row r="213" spans="1:36">
      <c r="A213" s="1" t="str">
        <f>"ZD53C44624"</f>
        <v>ZD53C44624</v>
      </c>
      <c r="B213" s="1" t="str">
        <f t="shared" si="3"/>
        <v>02406911202</v>
      </c>
      <c r="C213" s="1" t="s">
        <v>13</v>
      </c>
      <c r="D213" s="1" t="s">
        <v>180</v>
      </c>
      <c r="E213" s="1" t="s">
        <v>181</v>
      </c>
      <c r="F213" s="1" t="s">
        <v>158</v>
      </c>
      <c r="G213" s="1" t="str">
        <f>"02130320035"</f>
        <v>02130320035</v>
      </c>
      <c r="I213" s="1" t="s">
        <v>367</v>
      </c>
      <c r="L213" s="1" t="s">
        <v>43</v>
      </c>
      <c r="M213" s="1">
        <v>5000</v>
      </c>
      <c r="AG213" s="1">
        <v>4700</v>
      </c>
      <c r="AH213" s="2">
        <v>45166</v>
      </c>
      <c r="AI213" s="2">
        <v>45291</v>
      </c>
      <c r="AJ213" s="2">
        <v>45166</v>
      </c>
    </row>
    <row r="214" spans="1:36">
      <c r="A214" s="1" t="str">
        <f>"ZBE3C36C29"</f>
        <v>ZBE3C36C29</v>
      </c>
      <c r="B214" s="1" t="str">
        <f t="shared" si="3"/>
        <v>02406911202</v>
      </c>
      <c r="C214" s="1" t="s">
        <v>13</v>
      </c>
      <c r="D214" s="1" t="s">
        <v>186</v>
      </c>
      <c r="E214" s="1" t="s">
        <v>368</v>
      </c>
      <c r="F214" s="1" t="s">
        <v>158</v>
      </c>
      <c r="G214" s="1" t="str">
        <f>"91155450371"</f>
        <v>91155450371</v>
      </c>
      <c r="I214" s="1" t="s">
        <v>369</v>
      </c>
      <c r="L214" s="1" t="s">
        <v>43</v>
      </c>
      <c r="M214" s="1">
        <v>47999.8</v>
      </c>
      <c r="AG214" s="1">
        <v>11867.66</v>
      </c>
      <c r="AH214" s="2">
        <v>45167</v>
      </c>
      <c r="AI214" s="2">
        <v>45322</v>
      </c>
      <c r="AJ214" s="2">
        <v>45167</v>
      </c>
    </row>
    <row r="215" spans="1:36">
      <c r="A215" s="1" t="str">
        <f>"ZD73C45854"</f>
        <v>ZD73C45854</v>
      </c>
      <c r="B215" s="1" t="str">
        <f t="shared" si="3"/>
        <v>02406911202</v>
      </c>
      <c r="C215" s="1" t="s">
        <v>13</v>
      </c>
      <c r="D215" s="1" t="s">
        <v>186</v>
      </c>
      <c r="E215" s="1" t="s">
        <v>370</v>
      </c>
      <c r="F215" s="1" t="s">
        <v>158</v>
      </c>
      <c r="G215" s="1" t="str">
        <f>"06267580485"</f>
        <v>06267580485</v>
      </c>
      <c r="I215" s="1" t="s">
        <v>371</v>
      </c>
      <c r="L215" s="1" t="s">
        <v>43</v>
      </c>
      <c r="M215" s="1">
        <v>4999</v>
      </c>
      <c r="AG215" s="1">
        <v>1799.25</v>
      </c>
      <c r="AH215" s="2">
        <v>45166</v>
      </c>
      <c r="AI215" s="2">
        <v>45291</v>
      </c>
      <c r="AJ215" s="2">
        <v>45166</v>
      </c>
    </row>
    <row r="216" spans="1:36">
      <c r="A216" s="1" t="str">
        <f>"Z643C482DE"</f>
        <v>Z643C482DE</v>
      </c>
      <c r="B216" s="1" t="str">
        <f t="shared" si="3"/>
        <v>02406911202</v>
      </c>
      <c r="C216" s="1" t="s">
        <v>13</v>
      </c>
      <c r="D216" s="1" t="s">
        <v>186</v>
      </c>
      <c r="E216" s="1" t="s">
        <v>372</v>
      </c>
      <c r="F216" s="1" t="s">
        <v>158</v>
      </c>
      <c r="G216" s="1" t="str">
        <f>"12572900152"</f>
        <v>12572900152</v>
      </c>
      <c r="I216" s="1" t="s">
        <v>335</v>
      </c>
      <c r="L216" s="1" t="s">
        <v>43</v>
      </c>
      <c r="M216" s="1">
        <v>4999</v>
      </c>
      <c r="AG216" s="1">
        <v>224</v>
      </c>
      <c r="AH216" s="2">
        <v>45167</v>
      </c>
      <c r="AI216" s="2">
        <v>45535</v>
      </c>
      <c r="AJ216" s="2">
        <v>45167</v>
      </c>
    </row>
    <row r="217" spans="1:36">
      <c r="A217" s="1" t="str">
        <f>"Z543C48957"</f>
        <v>Z543C48957</v>
      </c>
      <c r="B217" s="1" t="str">
        <f t="shared" si="3"/>
        <v>02406911202</v>
      </c>
      <c r="C217" s="1" t="s">
        <v>13</v>
      </c>
      <c r="D217" s="1" t="s">
        <v>186</v>
      </c>
      <c r="E217" s="1" t="s">
        <v>373</v>
      </c>
      <c r="F217" s="1" t="s">
        <v>158</v>
      </c>
      <c r="G217" s="1" t="str">
        <f>"02501461202"</f>
        <v>02501461202</v>
      </c>
      <c r="I217" s="1" t="s">
        <v>374</v>
      </c>
      <c r="L217" s="1" t="s">
        <v>43</v>
      </c>
      <c r="M217" s="1">
        <v>4999</v>
      </c>
      <c r="AG217" s="1">
        <v>1669</v>
      </c>
      <c r="AH217" s="2">
        <v>45167</v>
      </c>
      <c r="AI217" s="2">
        <v>45291</v>
      </c>
      <c r="AJ217" s="2">
        <v>45167</v>
      </c>
    </row>
    <row r="218" spans="1:36">
      <c r="A218" s="1" t="str">
        <f>"ZC23C33F28"</f>
        <v>ZC23C33F28</v>
      </c>
      <c r="B218" s="1" t="str">
        <f t="shared" si="3"/>
        <v>02406911202</v>
      </c>
      <c r="C218" s="1" t="s">
        <v>13</v>
      </c>
      <c r="D218" s="1" t="s">
        <v>164</v>
      </c>
      <c r="E218" s="1" t="s">
        <v>375</v>
      </c>
      <c r="F218" s="1" t="s">
        <v>39</v>
      </c>
      <c r="G218" s="1" t="str">
        <f>"02376321200"</f>
        <v>02376321200</v>
      </c>
      <c r="I218" s="1" t="s">
        <v>376</v>
      </c>
      <c r="L218" s="1" t="s">
        <v>43</v>
      </c>
      <c r="M218" s="1">
        <v>2617</v>
      </c>
      <c r="AG218" s="1">
        <v>2616.9899999999998</v>
      </c>
      <c r="AH218" s="2">
        <v>45154</v>
      </c>
      <c r="AI218" s="2">
        <v>45291</v>
      </c>
      <c r="AJ218" s="2">
        <v>45154</v>
      </c>
    </row>
    <row r="219" spans="1:36">
      <c r="A219" s="1" t="str">
        <f>"Z8D3C4AA5A"</f>
        <v>Z8D3C4AA5A</v>
      </c>
      <c r="B219" s="1" t="str">
        <f t="shared" si="3"/>
        <v>02406911202</v>
      </c>
      <c r="C219" s="1" t="s">
        <v>13</v>
      </c>
      <c r="D219" s="1" t="s">
        <v>180</v>
      </c>
      <c r="E219" s="1" t="s">
        <v>279</v>
      </c>
      <c r="F219" s="1" t="s">
        <v>158</v>
      </c>
      <c r="G219" s="1" t="str">
        <f>"15438541003"</f>
        <v>15438541003</v>
      </c>
      <c r="I219" s="1" t="s">
        <v>377</v>
      </c>
      <c r="L219" s="1" t="s">
        <v>43</v>
      </c>
      <c r="M219" s="1">
        <v>5000</v>
      </c>
      <c r="AG219" s="1">
        <v>4845</v>
      </c>
      <c r="AH219" s="2">
        <v>45168</v>
      </c>
      <c r="AI219" s="2">
        <v>45291</v>
      </c>
      <c r="AJ219" s="2">
        <v>45168</v>
      </c>
    </row>
    <row r="220" spans="1:36">
      <c r="A220" s="1" t="str">
        <f>"ZA33BBEDF3"</f>
        <v>ZA33BBEDF3</v>
      </c>
      <c r="B220" s="1" t="str">
        <f t="shared" si="3"/>
        <v>02406911202</v>
      </c>
      <c r="C220" s="1" t="s">
        <v>13</v>
      </c>
      <c r="D220" s="1" t="s">
        <v>177</v>
      </c>
      <c r="E220" s="1" t="s">
        <v>378</v>
      </c>
      <c r="F220" s="1" t="s">
        <v>39</v>
      </c>
      <c r="G220" s="1" t="str">
        <f>"03510961208"</f>
        <v>03510961208</v>
      </c>
      <c r="I220" s="1" t="s">
        <v>236</v>
      </c>
      <c r="L220" s="1" t="s">
        <v>43</v>
      </c>
      <c r="M220" s="1">
        <v>500000</v>
      </c>
      <c r="AG220" s="1">
        <v>51957.45</v>
      </c>
      <c r="AH220" s="2">
        <v>45108</v>
      </c>
      <c r="AI220" s="2">
        <v>45657</v>
      </c>
      <c r="AJ220" s="2">
        <v>45108</v>
      </c>
    </row>
    <row r="221" spans="1:36">
      <c r="A221" s="1" t="str">
        <f>"9908852359"</f>
        <v>9908852359</v>
      </c>
      <c r="B221" s="1" t="str">
        <f t="shared" si="3"/>
        <v>02406911202</v>
      </c>
      <c r="C221" s="1" t="s">
        <v>13</v>
      </c>
      <c r="D221" s="1" t="s">
        <v>167</v>
      </c>
      <c r="E221" s="1" t="s">
        <v>379</v>
      </c>
      <c r="F221" s="1" t="s">
        <v>151</v>
      </c>
      <c r="G221" s="1" t="str">
        <f>"05724831002"</f>
        <v>05724831002</v>
      </c>
      <c r="I221" s="1" t="s">
        <v>380</v>
      </c>
      <c r="L221" s="1" t="s">
        <v>43</v>
      </c>
      <c r="M221" s="1">
        <v>174760</v>
      </c>
      <c r="AG221" s="1">
        <v>0</v>
      </c>
      <c r="AH221" s="2">
        <v>45108</v>
      </c>
      <c r="AI221" s="2">
        <v>45291</v>
      </c>
      <c r="AJ221" s="2">
        <v>45108</v>
      </c>
    </row>
    <row r="222" spans="1:36">
      <c r="A222" s="1" t="str">
        <f>"99088956D4"</f>
        <v>99088956D4</v>
      </c>
      <c r="B222" s="1" t="str">
        <f t="shared" si="3"/>
        <v>02406911202</v>
      </c>
      <c r="C222" s="1" t="s">
        <v>13</v>
      </c>
      <c r="D222" s="1" t="s">
        <v>167</v>
      </c>
      <c r="E222" s="1" t="s">
        <v>381</v>
      </c>
      <c r="F222" s="1" t="s">
        <v>151</v>
      </c>
      <c r="G222" s="1" t="str">
        <f>"02303440487"</f>
        <v>02303440487</v>
      </c>
      <c r="I222" s="1" t="s">
        <v>382</v>
      </c>
      <c r="L222" s="1" t="s">
        <v>43</v>
      </c>
      <c r="M222" s="1">
        <v>69850</v>
      </c>
      <c r="AG222" s="1">
        <v>0</v>
      </c>
      <c r="AH222" s="2">
        <v>45108</v>
      </c>
      <c r="AI222" s="2">
        <v>45291</v>
      </c>
      <c r="AJ222" s="2">
        <v>45108</v>
      </c>
    </row>
    <row r="223" spans="1:36">
      <c r="A223" s="1" t="str">
        <f>"9961384A1E"</f>
        <v>9961384A1E</v>
      </c>
      <c r="B223" s="1" t="str">
        <f t="shared" si="3"/>
        <v>02406911202</v>
      </c>
      <c r="C223" s="1" t="s">
        <v>13</v>
      </c>
      <c r="D223" s="1" t="s">
        <v>167</v>
      </c>
      <c r="E223" s="1" t="s">
        <v>383</v>
      </c>
      <c r="F223" s="1" t="s">
        <v>151</v>
      </c>
      <c r="G223" s="1" t="str">
        <f>"09238800156"</f>
        <v>09238800156</v>
      </c>
      <c r="I223" s="1" t="s">
        <v>92</v>
      </c>
      <c r="L223" s="1" t="s">
        <v>43</v>
      </c>
      <c r="M223" s="1">
        <v>5506.56</v>
      </c>
      <c r="AG223" s="1">
        <v>0</v>
      </c>
      <c r="AH223" s="2">
        <v>45126</v>
      </c>
      <c r="AI223" s="2">
        <v>45856</v>
      </c>
      <c r="AJ223" s="2">
        <v>45126</v>
      </c>
    </row>
    <row r="224" spans="1:36">
      <c r="A224" s="1" t="str">
        <f>"9961407D18"</f>
        <v>9961407D18</v>
      </c>
      <c r="B224" s="1" t="str">
        <f t="shared" si="3"/>
        <v>02406911202</v>
      </c>
      <c r="C224" s="1" t="s">
        <v>13</v>
      </c>
      <c r="D224" s="1" t="s">
        <v>167</v>
      </c>
      <c r="E224" s="1" t="s">
        <v>383</v>
      </c>
      <c r="F224" s="1" t="s">
        <v>151</v>
      </c>
      <c r="G224" s="1" t="str">
        <f>"08082461008"</f>
        <v>08082461008</v>
      </c>
      <c r="I224" s="1" t="s">
        <v>88</v>
      </c>
      <c r="L224" s="1" t="s">
        <v>43</v>
      </c>
      <c r="M224" s="1">
        <v>15018.77</v>
      </c>
      <c r="AG224" s="1">
        <v>0</v>
      </c>
      <c r="AH224" s="2">
        <v>45126</v>
      </c>
      <c r="AI224" s="2">
        <v>45856</v>
      </c>
      <c r="AJ224" s="2">
        <v>45126</v>
      </c>
    </row>
    <row r="225" spans="1:36">
      <c r="A225" s="1" t="str">
        <f>"ZD13C1B812"</f>
        <v>ZD13C1B812</v>
      </c>
      <c r="B225" s="1" t="str">
        <f t="shared" si="3"/>
        <v>02406911202</v>
      </c>
      <c r="C225" s="1" t="s">
        <v>13</v>
      </c>
      <c r="D225" s="1" t="s">
        <v>177</v>
      </c>
      <c r="E225" s="1" t="s">
        <v>384</v>
      </c>
      <c r="F225" s="1" t="s">
        <v>158</v>
      </c>
      <c r="G225" s="1" t="str">
        <f>"03078531203"</f>
        <v>03078531203</v>
      </c>
      <c r="I225" s="1" t="s">
        <v>385</v>
      </c>
      <c r="L225" s="1" t="s">
        <v>43</v>
      </c>
      <c r="M225" s="1">
        <v>13340</v>
      </c>
      <c r="AG225" s="1">
        <v>6670</v>
      </c>
      <c r="AH225" s="2">
        <v>45108</v>
      </c>
      <c r="AI225" s="2">
        <v>45291</v>
      </c>
      <c r="AJ225" s="2">
        <v>45108</v>
      </c>
    </row>
    <row r="226" spans="1:36">
      <c r="A226" s="1" t="str">
        <f>"9978638892"</f>
        <v>9978638892</v>
      </c>
      <c r="B226" s="1" t="str">
        <f t="shared" si="3"/>
        <v>02406911202</v>
      </c>
      <c r="C226" s="1" t="s">
        <v>13</v>
      </c>
      <c r="D226" s="1" t="s">
        <v>167</v>
      </c>
      <c r="E226" s="1" t="s">
        <v>386</v>
      </c>
      <c r="F226" s="1" t="s">
        <v>39</v>
      </c>
      <c r="G226" s="1" t="str">
        <f>"00623810371"</f>
        <v>00623810371</v>
      </c>
      <c r="I226" s="1" t="s">
        <v>387</v>
      </c>
      <c r="L226" s="1" t="s">
        <v>43</v>
      </c>
      <c r="M226" s="1">
        <v>7031.67</v>
      </c>
      <c r="AG226" s="1">
        <v>1137.2</v>
      </c>
      <c r="AH226" s="2">
        <v>45146</v>
      </c>
      <c r="AI226" s="2">
        <v>45511</v>
      </c>
      <c r="AJ226" s="2">
        <v>45146</v>
      </c>
    </row>
    <row r="227" spans="1:36">
      <c r="A227" s="1" t="str">
        <f>"9909428EAA"</f>
        <v>9909428EAA</v>
      </c>
      <c r="B227" s="1" t="str">
        <f t="shared" si="3"/>
        <v>02406911202</v>
      </c>
      <c r="C227" s="1" t="s">
        <v>13</v>
      </c>
      <c r="D227" s="1" t="s">
        <v>167</v>
      </c>
      <c r="E227" s="1" t="s">
        <v>388</v>
      </c>
      <c r="F227" s="1" t="s">
        <v>151</v>
      </c>
      <c r="G227" s="1" t="str">
        <f>"00492340583"</f>
        <v>00492340583</v>
      </c>
      <c r="I227" s="1" t="s">
        <v>56</v>
      </c>
      <c r="L227" s="1" t="s">
        <v>43</v>
      </c>
      <c r="M227" s="1">
        <v>65188.4</v>
      </c>
      <c r="AG227" s="1">
        <v>5466.76</v>
      </c>
      <c r="AH227" s="2">
        <v>45182</v>
      </c>
      <c r="AI227" s="2">
        <v>46022</v>
      </c>
      <c r="AJ227" s="2">
        <v>45182</v>
      </c>
    </row>
    <row r="228" spans="1:36">
      <c r="A228" s="1" t="str">
        <f>"Z403C73247"</f>
        <v>Z403C73247</v>
      </c>
      <c r="B228" s="1" t="str">
        <f t="shared" si="3"/>
        <v>02406911202</v>
      </c>
      <c r="C228" s="1" t="s">
        <v>13</v>
      </c>
      <c r="D228" s="1" t="s">
        <v>180</v>
      </c>
      <c r="E228" s="1" t="s">
        <v>281</v>
      </c>
      <c r="F228" s="1" t="s">
        <v>158</v>
      </c>
      <c r="G228" s="1" t="str">
        <f>"12572900152"</f>
        <v>12572900152</v>
      </c>
      <c r="I228" s="1" t="s">
        <v>335</v>
      </c>
      <c r="L228" s="1" t="s">
        <v>43</v>
      </c>
      <c r="M228" s="1">
        <v>6000</v>
      </c>
      <c r="AG228" s="1">
        <v>6917.26</v>
      </c>
      <c r="AH228" s="2">
        <v>45183</v>
      </c>
      <c r="AI228" s="2">
        <v>45291</v>
      </c>
      <c r="AJ228" s="2">
        <v>45183</v>
      </c>
    </row>
    <row r="229" spans="1:36">
      <c r="A229" s="1" t="str">
        <f>"Z7D3C770CD"</f>
        <v>Z7D3C770CD</v>
      </c>
      <c r="B229" s="1" t="str">
        <f t="shared" si="3"/>
        <v>02406911202</v>
      </c>
      <c r="C229" s="1" t="s">
        <v>13</v>
      </c>
      <c r="D229" s="1" t="s">
        <v>186</v>
      </c>
      <c r="E229" s="1" t="s">
        <v>389</v>
      </c>
      <c r="F229" s="1" t="s">
        <v>158</v>
      </c>
      <c r="G229" s="1" t="str">
        <f>"00718830292"</f>
        <v>00718830292</v>
      </c>
      <c r="I229" s="1" t="s">
        <v>390</v>
      </c>
      <c r="L229" s="1" t="s">
        <v>43</v>
      </c>
      <c r="M229" s="1">
        <v>4500</v>
      </c>
      <c r="AG229" s="1">
        <v>4252</v>
      </c>
      <c r="AH229" s="2">
        <v>45183</v>
      </c>
      <c r="AI229" s="2">
        <v>45291</v>
      </c>
      <c r="AJ229" s="2">
        <v>45183</v>
      </c>
    </row>
    <row r="230" spans="1:36">
      <c r="A230" s="1" t="str">
        <f>"ZAB3BD0D6C"</f>
        <v>ZAB3BD0D6C</v>
      </c>
      <c r="B230" s="1" t="str">
        <f t="shared" si="3"/>
        <v>02406911202</v>
      </c>
      <c r="C230" s="1" t="s">
        <v>13</v>
      </c>
      <c r="D230" s="1" t="s">
        <v>186</v>
      </c>
      <c r="E230" s="1" t="s">
        <v>391</v>
      </c>
      <c r="F230" s="1" t="s">
        <v>158</v>
      </c>
      <c r="G230" s="1" t="str">
        <f>"01900221209"</f>
        <v>01900221209</v>
      </c>
      <c r="I230" s="1" t="s">
        <v>392</v>
      </c>
      <c r="L230" s="1" t="s">
        <v>43</v>
      </c>
      <c r="M230" s="1">
        <v>4999</v>
      </c>
      <c r="AG230" s="1">
        <v>4971.72</v>
      </c>
      <c r="AH230" s="2">
        <v>45113</v>
      </c>
      <c r="AI230" s="2">
        <v>45291</v>
      </c>
      <c r="AJ230" s="2">
        <v>45113</v>
      </c>
    </row>
    <row r="231" spans="1:36">
      <c r="A231" s="1" t="str">
        <f>"Z4B3BD6061"</f>
        <v>Z4B3BD6061</v>
      </c>
      <c r="B231" s="1" t="str">
        <f t="shared" si="3"/>
        <v>02406911202</v>
      </c>
      <c r="C231" s="1" t="s">
        <v>13</v>
      </c>
      <c r="D231" s="1" t="s">
        <v>180</v>
      </c>
      <c r="E231" s="1" t="s">
        <v>281</v>
      </c>
      <c r="F231" s="1" t="s">
        <v>158</v>
      </c>
      <c r="G231" s="1" t="str">
        <f>"04289840268"</f>
        <v>04289840268</v>
      </c>
      <c r="I231" s="1" t="s">
        <v>302</v>
      </c>
      <c r="L231" s="1" t="s">
        <v>43</v>
      </c>
      <c r="M231" s="1">
        <v>6000</v>
      </c>
      <c r="AG231" s="1">
        <v>3994.4</v>
      </c>
      <c r="AH231" s="2">
        <v>45114</v>
      </c>
      <c r="AI231" s="2">
        <v>45291</v>
      </c>
      <c r="AJ231" s="2">
        <v>45114</v>
      </c>
    </row>
    <row r="232" spans="1:36">
      <c r="A232" s="1" t="str">
        <f>"Z603BDC525"</f>
        <v>Z603BDC525</v>
      </c>
      <c r="B232" s="1" t="str">
        <f t="shared" si="3"/>
        <v>02406911202</v>
      </c>
      <c r="C232" s="1" t="s">
        <v>13</v>
      </c>
      <c r="D232" s="1" t="s">
        <v>180</v>
      </c>
      <c r="E232" s="1" t="s">
        <v>244</v>
      </c>
      <c r="F232" s="1" t="s">
        <v>158</v>
      </c>
      <c r="G232" s="1" t="str">
        <f>"01368670384"</f>
        <v>01368670384</v>
      </c>
      <c r="I232" s="1" t="s">
        <v>214</v>
      </c>
      <c r="L232" s="1" t="s">
        <v>43</v>
      </c>
      <c r="M232" s="1">
        <v>5000</v>
      </c>
      <c r="AG232" s="1">
        <v>4641.2</v>
      </c>
      <c r="AH232" s="2">
        <v>45119</v>
      </c>
      <c r="AI232" s="2">
        <v>45291</v>
      </c>
      <c r="AJ232" s="2">
        <v>45119</v>
      </c>
    </row>
    <row r="233" spans="1:36">
      <c r="A233" s="1" t="str">
        <f>"ZC73BDD429"</f>
        <v>ZC73BDD429</v>
      </c>
      <c r="B233" s="1" t="str">
        <f t="shared" si="3"/>
        <v>02406911202</v>
      </c>
      <c r="C233" s="1" t="s">
        <v>13</v>
      </c>
      <c r="D233" s="1" t="s">
        <v>186</v>
      </c>
      <c r="E233" s="1" t="s">
        <v>393</v>
      </c>
      <c r="F233" s="1" t="s">
        <v>158</v>
      </c>
      <c r="G233" s="1" t="str">
        <f>"00640800280"</f>
        <v>00640800280</v>
      </c>
      <c r="I233" s="1" t="s">
        <v>394</v>
      </c>
      <c r="L233" s="1" t="s">
        <v>43</v>
      </c>
      <c r="M233" s="1">
        <v>4999</v>
      </c>
      <c r="AG233" s="1">
        <v>684</v>
      </c>
      <c r="AH233" s="2">
        <v>45119</v>
      </c>
      <c r="AI233" s="2">
        <v>46022</v>
      </c>
      <c r="AJ233" s="2">
        <v>45119</v>
      </c>
    </row>
    <row r="234" spans="1:36">
      <c r="A234" s="1" t="str">
        <f>"Z4E3BE4B85"</f>
        <v>Z4E3BE4B85</v>
      </c>
      <c r="B234" s="1" t="str">
        <f t="shared" si="3"/>
        <v>02406911202</v>
      </c>
      <c r="C234" s="1" t="s">
        <v>13</v>
      </c>
      <c r="D234" s="1" t="s">
        <v>264</v>
      </c>
      <c r="E234" s="1" t="s">
        <v>395</v>
      </c>
      <c r="F234" s="1" t="s">
        <v>158</v>
      </c>
      <c r="G234" s="1" t="str">
        <f>"01177620299"</f>
        <v>01177620299</v>
      </c>
      <c r="I234" s="1" t="s">
        <v>396</v>
      </c>
      <c r="L234" s="1" t="s">
        <v>43</v>
      </c>
      <c r="M234" s="1">
        <v>5000</v>
      </c>
      <c r="AG234" s="1">
        <v>675</v>
      </c>
      <c r="AH234" s="2">
        <v>45121</v>
      </c>
      <c r="AI234" s="2">
        <v>45657</v>
      </c>
      <c r="AJ234" s="2">
        <v>45121</v>
      </c>
    </row>
    <row r="235" spans="1:36">
      <c r="A235" s="1" t="str">
        <f>"Z543BE4D23"</f>
        <v>Z543BE4D23</v>
      </c>
      <c r="B235" s="1" t="str">
        <f t="shared" si="3"/>
        <v>02406911202</v>
      </c>
      <c r="C235" s="1" t="s">
        <v>13</v>
      </c>
      <c r="D235" s="1" t="s">
        <v>186</v>
      </c>
      <c r="E235" s="1" t="s">
        <v>397</v>
      </c>
      <c r="F235" s="1" t="s">
        <v>158</v>
      </c>
      <c r="G235" s="1" t="str">
        <f>"00136740404"</f>
        <v>00136740404</v>
      </c>
      <c r="I235" s="1" t="s">
        <v>398</v>
      </c>
      <c r="L235" s="1" t="s">
        <v>43</v>
      </c>
      <c r="M235" s="1">
        <v>4999</v>
      </c>
      <c r="AG235" s="1">
        <v>184.8</v>
      </c>
      <c r="AH235" s="2">
        <v>45121</v>
      </c>
      <c r="AI235" s="2">
        <v>46022</v>
      </c>
      <c r="AJ235" s="2">
        <v>45121</v>
      </c>
    </row>
    <row r="236" spans="1:36">
      <c r="A236" s="1" t="str">
        <f>"Z5B3C47E7B"</f>
        <v>Z5B3C47E7B</v>
      </c>
      <c r="B236" s="1" t="str">
        <f t="shared" si="3"/>
        <v>02406911202</v>
      </c>
      <c r="C236" s="1" t="s">
        <v>13</v>
      </c>
      <c r="D236" s="1" t="s">
        <v>167</v>
      </c>
      <c r="E236" s="1" t="s">
        <v>399</v>
      </c>
      <c r="F236" s="1" t="s">
        <v>39</v>
      </c>
      <c r="G236" s="1" t="str">
        <f>"02645920592"</f>
        <v>02645920592</v>
      </c>
      <c r="I236" s="1" t="s">
        <v>83</v>
      </c>
      <c r="L236" s="1" t="s">
        <v>43</v>
      </c>
      <c r="M236" s="1">
        <v>10460</v>
      </c>
      <c r="AG236" s="1">
        <v>0</v>
      </c>
      <c r="AH236" s="2">
        <v>45173</v>
      </c>
      <c r="AI236" s="2">
        <v>45565</v>
      </c>
      <c r="AJ236" s="2">
        <v>45173</v>
      </c>
    </row>
    <row r="237" spans="1:36">
      <c r="A237" s="1" t="str">
        <f>"A0089E3A78"</f>
        <v>A0089E3A78</v>
      </c>
      <c r="B237" s="1" t="str">
        <f t="shared" si="3"/>
        <v>02406911202</v>
      </c>
      <c r="C237" s="1" t="s">
        <v>13</v>
      </c>
      <c r="D237" s="1" t="s">
        <v>167</v>
      </c>
      <c r="E237" s="1" t="s">
        <v>400</v>
      </c>
      <c r="F237" s="1" t="s">
        <v>39</v>
      </c>
      <c r="H237" s="1" t="str">
        <f>"556737463101"</f>
        <v>556737463101</v>
      </c>
      <c r="I237" s="1" t="s">
        <v>401</v>
      </c>
      <c r="L237" s="1" t="s">
        <v>43</v>
      </c>
      <c r="M237" s="1">
        <v>375236.39</v>
      </c>
      <c r="AG237" s="1">
        <v>0</v>
      </c>
      <c r="AH237" s="2">
        <v>45173</v>
      </c>
      <c r="AI237" s="2">
        <v>45565</v>
      </c>
      <c r="AJ237" s="2">
        <v>45173</v>
      </c>
    </row>
    <row r="238" spans="1:36">
      <c r="A238" s="1" t="str">
        <f>"ZA23C4E8E1"</f>
        <v>ZA23C4E8E1</v>
      </c>
      <c r="B238" s="1" t="str">
        <f t="shared" si="3"/>
        <v>02406911202</v>
      </c>
      <c r="C238" s="1" t="s">
        <v>13</v>
      </c>
      <c r="D238" s="1" t="s">
        <v>167</v>
      </c>
      <c r="E238" s="1" t="s">
        <v>402</v>
      </c>
      <c r="F238" s="1" t="s">
        <v>151</v>
      </c>
      <c r="G238" s="1" t="str">
        <f>"02256250446"</f>
        <v>02256250446</v>
      </c>
      <c r="I238" s="1" t="s">
        <v>403</v>
      </c>
      <c r="L238" s="1" t="s">
        <v>43</v>
      </c>
      <c r="M238" s="1">
        <v>1960</v>
      </c>
      <c r="AG238" s="1">
        <v>0</v>
      </c>
      <c r="AH238" s="2">
        <v>45170</v>
      </c>
      <c r="AI238" s="2">
        <v>45900</v>
      </c>
      <c r="AJ238" s="2">
        <v>45170</v>
      </c>
    </row>
    <row r="239" spans="1:36">
      <c r="A239" s="1" t="str">
        <f>"A00873DAF7"</f>
        <v>A00873DAF7</v>
      </c>
      <c r="B239" s="1" t="str">
        <f t="shared" si="3"/>
        <v>02406911202</v>
      </c>
      <c r="C239" s="1" t="s">
        <v>13</v>
      </c>
      <c r="D239" s="1" t="s">
        <v>167</v>
      </c>
      <c r="E239" s="1" t="s">
        <v>404</v>
      </c>
      <c r="F239" s="1" t="s">
        <v>151</v>
      </c>
      <c r="G239" s="1" t="str">
        <f>"02348611209"</f>
        <v>02348611209</v>
      </c>
      <c r="I239" s="1" t="s">
        <v>306</v>
      </c>
      <c r="L239" s="1" t="s">
        <v>43</v>
      </c>
      <c r="M239" s="1">
        <v>50000</v>
      </c>
      <c r="AG239" s="1">
        <v>0</v>
      </c>
      <c r="AH239" s="2">
        <v>45167</v>
      </c>
      <c r="AI239" s="2">
        <v>45528</v>
      </c>
      <c r="AJ239" s="2">
        <v>45167</v>
      </c>
    </row>
    <row r="240" spans="1:36">
      <c r="A240" s="1" t="str">
        <f>"A00877AD4D"</f>
        <v>A00877AD4D</v>
      </c>
      <c r="B240" s="1" t="str">
        <f t="shared" si="3"/>
        <v>02406911202</v>
      </c>
      <c r="C240" s="1" t="s">
        <v>13</v>
      </c>
      <c r="D240" s="1" t="s">
        <v>167</v>
      </c>
      <c r="E240" s="1" t="s">
        <v>405</v>
      </c>
      <c r="F240" s="1" t="s">
        <v>151</v>
      </c>
      <c r="G240" s="1" t="str">
        <f>"09270550016"</f>
        <v>09270550016</v>
      </c>
      <c r="I240" s="1" t="s">
        <v>406</v>
      </c>
      <c r="L240" s="1" t="s">
        <v>43</v>
      </c>
      <c r="M240" s="1">
        <v>120000</v>
      </c>
      <c r="AG240" s="1">
        <v>10560</v>
      </c>
      <c r="AH240" s="2">
        <v>45167</v>
      </c>
      <c r="AI240" s="2">
        <v>45529</v>
      </c>
      <c r="AJ240" s="2">
        <v>45167</v>
      </c>
    </row>
    <row r="241" spans="1:36">
      <c r="A241" s="1" t="str">
        <f>"A00886B431"</f>
        <v>A00886B431</v>
      </c>
      <c r="B241" s="1" t="str">
        <f t="shared" si="3"/>
        <v>02406911202</v>
      </c>
      <c r="C241" s="1" t="s">
        <v>13</v>
      </c>
      <c r="D241" s="1" t="s">
        <v>167</v>
      </c>
      <c r="E241" s="1" t="s">
        <v>405</v>
      </c>
      <c r="F241" s="1" t="s">
        <v>151</v>
      </c>
      <c r="G241" s="1" t="str">
        <f>"02680890411"</f>
        <v>02680890411</v>
      </c>
      <c r="I241" s="1" t="s">
        <v>407</v>
      </c>
      <c r="L241" s="1" t="s">
        <v>43</v>
      </c>
      <c r="M241" s="1">
        <v>150000</v>
      </c>
      <c r="AG241" s="1">
        <v>15150.52</v>
      </c>
      <c r="AH241" s="2">
        <v>45167</v>
      </c>
      <c r="AI241" s="2">
        <v>45528</v>
      </c>
      <c r="AJ241" s="2">
        <v>45167</v>
      </c>
    </row>
    <row r="242" spans="1:36">
      <c r="A242" s="1" t="str">
        <f>"Z8F3C513CD"</f>
        <v>Z8F3C513CD</v>
      </c>
      <c r="B242" s="1" t="str">
        <f t="shared" si="3"/>
        <v>02406911202</v>
      </c>
      <c r="C242" s="1" t="s">
        <v>13</v>
      </c>
      <c r="D242" s="1" t="s">
        <v>186</v>
      </c>
      <c r="E242" s="1" t="s">
        <v>408</v>
      </c>
      <c r="F242" s="1" t="s">
        <v>158</v>
      </c>
      <c r="G242" s="1" t="str">
        <f>"01991400670"</f>
        <v>01991400670</v>
      </c>
      <c r="I242" s="1" t="s">
        <v>409</v>
      </c>
      <c r="L242" s="1" t="s">
        <v>43</v>
      </c>
      <c r="M242" s="1">
        <v>4000</v>
      </c>
      <c r="AG242" s="1">
        <v>1610</v>
      </c>
      <c r="AH242" s="2">
        <v>45170</v>
      </c>
      <c r="AI242" s="2">
        <v>45291</v>
      </c>
      <c r="AJ242" s="2">
        <v>45170</v>
      </c>
    </row>
    <row r="243" spans="1:36">
      <c r="A243" s="1" t="str">
        <f>"ZA23C517F1"</f>
        <v>ZA23C517F1</v>
      </c>
      <c r="B243" s="1" t="str">
        <f t="shared" si="3"/>
        <v>02406911202</v>
      </c>
      <c r="C243" s="1" t="s">
        <v>13</v>
      </c>
      <c r="D243" s="1" t="s">
        <v>177</v>
      </c>
      <c r="E243" s="1" t="s">
        <v>410</v>
      </c>
      <c r="F243" s="1" t="s">
        <v>158</v>
      </c>
      <c r="G243" s="1" t="str">
        <f>"RSSMRS52C42G535K"</f>
        <v>RSSMRS52C42G535K</v>
      </c>
      <c r="I243" s="1" t="s">
        <v>411</v>
      </c>
      <c r="L243" s="1" t="s">
        <v>43</v>
      </c>
      <c r="M243" s="1">
        <v>4268.74</v>
      </c>
      <c r="AG243" s="1">
        <v>4268.74</v>
      </c>
      <c r="AH243" s="2">
        <v>45170</v>
      </c>
      <c r="AI243" s="2">
        <v>45291</v>
      </c>
      <c r="AJ243" s="2">
        <v>45170</v>
      </c>
    </row>
    <row r="244" spans="1:36">
      <c r="A244" s="1" t="str">
        <f>"Z093C04579"</f>
        <v>Z093C04579</v>
      </c>
      <c r="B244" s="1" t="str">
        <f t="shared" si="3"/>
        <v>02406911202</v>
      </c>
      <c r="C244" s="1" t="s">
        <v>13</v>
      </c>
      <c r="D244" s="1" t="s">
        <v>180</v>
      </c>
      <c r="E244" s="1" t="s">
        <v>220</v>
      </c>
      <c r="F244" s="1" t="s">
        <v>158</v>
      </c>
      <c r="G244" s="1" t="str">
        <f>"03318780966"</f>
        <v>03318780966</v>
      </c>
      <c r="I244" s="1" t="s">
        <v>412</v>
      </c>
      <c r="L244" s="1" t="s">
        <v>43</v>
      </c>
      <c r="M244" s="1">
        <v>6000</v>
      </c>
      <c r="AG244" s="1">
        <v>5338.76</v>
      </c>
      <c r="AH244" s="2">
        <v>45139</v>
      </c>
      <c r="AI244" s="2">
        <v>45291</v>
      </c>
      <c r="AJ244" s="2">
        <v>45139</v>
      </c>
    </row>
    <row r="245" spans="1:36">
      <c r="A245" s="1" t="str">
        <f>"ZB33C3964C"</f>
        <v>ZB33C3964C</v>
      </c>
      <c r="B245" s="1" t="str">
        <f t="shared" si="3"/>
        <v>02406911202</v>
      </c>
      <c r="C245" s="1" t="s">
        <v>13</v>
      </c>
      <c r="D245" s="1" t="s">
        <v>164</v>
      </c>
      <c r="E245" s="1" t="s">
        <v>413</v>
      </c>
      <c r="F245" s="1" t="s">
        <v>158</v>
      </c>
      <c r="G245" s="1" t="str">
        <f>"02376321200"</f>
        <v>02376321200</v>
      </c>
      <c r="I245" s="1" t="s">
        <v>376</v>
      </c>
      <c r="L245" s="1" t="s">
        <v>43</v>
      </c>
      <c r="M245" s="1">
        <v>861</v>
      </c>
      <c r="AG245" s="1">
        <v>861</v>
      </c>
      <c r="AH245" s="2">
        <v>45159</v>
      </c>
      <c r="AI245" s="2">
        <v>45291</v>
      </c>
      <c r="AJ245" s="2">
        <v>45159</v>
      </c>
    </row>
    <row r="246" spans="1:36">
      <c r="A246" s="1" t="str">
        <f>"Z853C4E015"</f>
        <v>Z853C4E015</v>
      </c>
      <c r="B246" s="1" t="str">
        <f t="shared" si="3"/>
        <v>02406911202</v>
      </c>
      <c r="C246" s="1" t="s">
        <v>13</v>
      </c>
      <c r="D246" s="1" t="s">
        <v>180</v>
      </c>
      <c r="E246" s="1" t="s">
        <v>181</v>
      </c>
      <c r="F246" s="1" t="s">
        <v>158</v>
      </c>
      <c r="G246" s="1" t="str">
        <f>"02457060032"</f>
        <v>02457060032</v>
      </c>
      <c r="I246" s="1" t="s">
        <v>320</v>
      </c>
      <c r="L246" s="1" t="s">
        <v>43</v>
      </c>
      <c r="M246" s="1">
        <v>6000</v>
      </c>
      <c r="AG246" s="1">
        <v>4342.38</v>
      </c>
      <c r="AH246" s="2">
        <v>45169</v>
      </c>
      <c r="AI246" s="2">
        <v>45657</v>
      </c>
      <c r="AJ246" s="2">
        <v>45169</v>
      </c>
    </row>
    <row r="247" spans="1:36">
      <c r="A247" s="1" t="str">
        <f>"9910296AF7"</f>
        <v>9910296AF7</v>
      </c>
      <c r="B247" s="1" t="str">
        <f t="shared" si="3"/>
        <v>02406911202</v>
      </c>
      <c r="C247" s="1" t="s">
        <v>13</v>
      </c>
      <c r="D247" s="1" t="s">
        <v>167</v>
      </c>
      <c r="E247" s="1" t="s">
        <v>414</v>
      </c>
      <c r="F247" s="1" t="s">
        <v>151</v>
      </c>
      <c r="G247" s="1" t="str">
        <f>"00962280590"</f>
        <v>00962280590</v>
      </c>
      <c r="I247" s="1" t="s">
        <v>42</v>
      </c>
      <c r="L247" s="1" t="s">
        <v>43</v>
      </c>
      <c r="M247" s="1">
        <v>927203.16</v>
      </c>
      <c r="AG247" s="1">
        <v>143521.20000000001</v>
      </c>
      <c r="AH247" s="2">
        <v>45182</v>
      </c>
      <c r="AI247" s="2">
        <v>46022</v>
      </c>
      <c r="AJ247" s="2">
        <v>45182</v>
      </c>
    </row>
    <row r="248" spans="1:36">
      <c r="A248" s="1" t="str">
        <f>"Z163C72018"</f>
        <v>Z163C72018</v>
      </c>
      <c r="B248" s="1" t="str">
        <f t="shared" si="3"/>
        <v>02406911202</v>
      </c>
      <c r="C248" s="1" t="s">
        <v>13</v>
      </c>
      <c r="D248" s="1" t="s">
        <v>186</v>
      </c>
      <c r="E248" s="1" t="s">
        <v>415</v>
      </c>
      <c r="F248" s="1" t="s">
        <v>158</v>
      </c>
      <c r="G248" s="1" t="str">
        <f>"DLLLRT87T25A479W"</f>
        <v>DLLLRT87T25A479W</v>
      </c>
      <c r="I248" s="1" t="s">
        <v>416</v>
      </c>
      <c r="L248" s="1" t="s">
        <v>43</v>
      </c>
      <c r="M248" s="1">
        <v>4990</v>
      </c>
      <c r="AG248" s="1">
        <v>0</v>
      </c>
      <c r="AH248" s="2">
        <v>45182</v>
      </c>
      <c r="AI248" s="2">
        <v>45291</v>
      </c>
      <c r="AJ248" s="2">
        <v>45182</v>
      </c>
    </row>
    <row r="249" spans="1:36">
      <c r="A249" s="1" t="str">
        <f>"ZA43C7E439"</f>
        <v>ZA43C7E439</v>
      </c>
      <c r="B249" s="1" t="str">
        <f t="shared" si="3"/>
        <v>02406911202</v>
      </c>
      <c r="C249" s="1" t="s">
        <v>13</v>
      </c>
      <c r="D249" s="1" t="s">
        <v>264</v>
      </c>
      <c r="E249" s="1" t="s">
        <v>417</v>
      </c>
      <c r="F249" s="1" t="s">
        <v>158</v>
      </c>
      <c r="G249" s="1" t="str">
        <f>"03345930287"</f>
        <v>03345930287</v>
      </c>
      <c r="I249" s="1" t="s">
        <v>418</v>
      </c>
      <c r="L249" s="1" t="s">
        <v>43</v>
      </c>
      <c r="M249" s="1">
        <v>100</v>
      </c>
      <c r="AG249" s="1">
        <v>0</v>
      </c>
      <c r="AH249" s="2">
        <v>45187</v>
      </c>
      <c r="AI249" s="2">
        <v>45194</v>
      </c>
      <c r="AJ249" s="2">
        <v>45187</v>
      </c>
    </row>
    <row r="250" spans="1:36">
      <c r="A250" s="1" t="str">
        <f>"A00F6CA8F3"</f>
        <v>A00F6CA8F3</v>
      </c>
      <c r="B250" s="1" t="str">
        <f t="shared" si="3"/>
        <v>02406911202</v>
      </c>
      <c r="C250" s="1" t="s">
        <v>13</v>
      </c>
      <c r="D250" s="1" t="s">
        <v>167</v>
      </c>
      <c r="E250" s="1" t="s">
        <v>419</v>
      </c>
      <c r="F250" s="1" t="s">
        <v>39</v>
      </c>
      <c r="G250" s="1" t="str">
        <f>"13774921004"</f>
        <v>13774921004</v>
      </c>
      <c r="I250" s="1" t="s">
        <v>420</v>
      </c>
      <c r="L250" s="1" t="s">
        <v>43</v>
      </c>
      <c r="M250" s="1">
        <v>115000</v>
      </c>
      <c r="AG250" s="1">
        <v>18230</v>
      </c>
      <c r="AH250" s="2">
        <v>45187</v>
      </c>
      <c r="AI250" s="2">
        <v>45322</v>
      </c>
      <c r="AJ250" s="2">
        <v>45187</v>
      </c>
    </row>
    <row r="251" spans="1:36">
      <c r="A251" s="1" t="str">
        <f>"A011737B26"</f>
        <v>A011737B26</v>
      </c>
      <c r="B251" s="1" t="str">
        <f t="shared" si="3"/>
        <v>02406911202</v>
      </c>
      <c r="C251" s="1" t="s">
        <v>13</v>
      </c>
      <c r="D251" s="1" t="s">
        <v>167</v>
      </c>
      <c r="E251" s="1" t="s">
        <v>421</v>
      </c>
      <c r="F251" s="1" t="s">
        <v>39</v>
      </c>
      <c r="G251" s="1" t="str">
        <f>"00805390283"</f>
        <v>00805390283</v>
      </c>
      <c r="I251" s="1" t="s">
        <v>422</v>
      </c>
      <c r="L251" s="1" t="s">
        <v>43</v>
      </c>
      <c r="M251" s="1">
        <v>7594</v>
      </c>
      <c r="AG251" s="1">
        <v>0</v>
      </c>
      <c r="AH251" s="2">
        <v>45188</v>
      </c>
      <c r="AI251" s="2">
        <v>45291</v>
      </c>
      <c r="AJ251" s="2">
        <v>45188</v>
      </c>
    </row>
    <row r="252" spans="1:36">
      <c r="A252" s="1" t="str">
        <f>"A0108358A2"</f>
        <v>A0108358A2</v>
      </c>
      <c r="B252" s="1" t="str">
        <f t="shared" si="3"/>
        <v>02406911202</v>
      </c>
      <c r="C252" s="1" t="s">
        <v>13</v>
      </c>
      <c r="D252" s="1" t="s">
        <v>167</v>
      </c>
      <c r="E252" s="1" t="s">
        <v>423</v>
      </c>
      <c r="F252" s="1" t="s">
        <v>39</v>
      </c>
      <c r="G252" s="1" t="str">
        <f>"07777350633"</f>
        <v>07777350633</v>
      </c>
      <c r="I252" s="1" t="s">
        <v>424</v>
      </c>
      <c r="L252" s="1" t="s">
        <v>43</v>
      </c>
      <c r="M252" s="1">
        <v>2500000</v>
      </c>
      <c r="AG252" s="1">
        <v>23471.09</v>
      </c>
      <c r="AH252" s="2">
        <v>45200</v>
      </c>
      <c r="AI252" s="2">
        <v>45382</v>
      </c>
      <c r="AJ252" s="2">
        <v>45200</v>
      </c>
    </row>
    <row r="253" spans="1:36">
      <c r="A253" s="1" t="str">
        <f>"ZE53C855D4"</f>
        <v>ZE53C855D4</v>
      </c>
      <c r="B253" s="1" t="str">
        <f t="shared" si="3"/>
        <v>02406911202</v>
      </c>
      <c r="C253" s="1" t="s">
        <v>13</v>
      </c>
      <c r="D253" s="1" t="s">
        <v>180</v>
      </c>
      <c r="E253" s="1" t="s">
        <v>281</v>
      </c>
      <c r="F253" s="1" t="s">
        <v>158</v>
      </c>
      <c r="G253" s="1" t="str">
        <f>"07532430589"</f>
        <v>07532430589</v>
      </c>
      <c r="I253" s="1" t="s">
        <v>425</v>
      </c>
      <c r="L253" s="1" t="s">
        <v>43</v>
      </c>
      <c r="M253" s="1">
        <v>5000</v>
      </c>
      <c r="AG253" s="1">
        <v>2800</v>
      </c>
      <c r="AH253" s="2">
        <v>45189</v>
      </c>
      <c r="AI253" s="2">
        <v>45291</v>
      </c>
      <c r="AJ253" s="2">
        <v>45189</v>
      </c>
    </row>
    <row r="254" spans="1:36">
      <c r="A254" s="1" t="str">
        <f>"Z3B3C86D9F"</f>
        <v>Z3B3C86D9F</v>
      </c>
      <c r="B254" s="1" t="str">
        <f t="shared" si="3"/>
        <v>02406911202</v>
      </c>
      <c r="C254" s="1" t="s">
        <v>13</v>
      </c>
      <c r="D254" s="1" t="s">
        <v>164</v>
      </c>
      <c r="E254" s="1" t="s">
        <v>426</v>
      </c>
      <c r="F254" s="1" t="s">
        <v>158</v>
      </c>
      <c r="G254" s="1" t="str">
        <f>"01944260221"</f>
        <v>01944260221</v>
      </c>
      <c r="I254" s="1" t="s">
        <v>427</v>
      </c>
      <c r="L254" s="1" t="s">
        <v>43</v>
      </c>
      <c r="M254" s="1">
        <v>1980</v>
      </c>
      <c r="AG254" s="1">
        <v>1980</v>
      </c>
      <c r="AH254" s="2">
        <v>45178</v>
      </c>
      <c r="AI254" s="2">
        <v>45291</v>
      </c>
      <c r="AJ254" s="2">
        <v>45178</v>
      </c>
    </row>
    <row r="255" spans="1:36">
      <c r="A255" s="1" t="str">
        <f>"ZB83C872E1"</f>
        <v>ZB83C872E1</v>
      </c>
      <c r="B255" s="1" t="str">
        <f t="shared" si="3"/>
        <v>02406911202</v>
      </c>
      <c r="C255" s="1" t="s">
        <v>13</v>
      </c>
      <c r="D255" s="1" t="s">
        <v>186</v>
      </c>
      <c r="E255" s="1" t="s">
        <v>428</v>
      </c>
      <c r="F255" s="1" t="s">
        <v>158</v>
      </c>
      <c r="G255" s="1" t="str">
        <f>"02119100358"</f>
        <v>02119100358</v>
      </c>
      <c r="I255" s="1" t="s">
        <v>429</v>
      </c>
      <c r="L255" s="1" t="s">
        <v>43</v>
      </c>
      <c r="M255" s="1">
        <v>4999</v>
      </c>
      <c r="AG255" s="1">
        <v>2364.8000000000002</v>
      </c>
      <c r="AH255" s="2">
        <v>45189</v>
      </c>
      <c r="AI255" s="2">
        <v>46752</v>
      </c>
      <c r="AJ255" s="2">
        <v>45189</v>
      </c>
    </row>
    <row r="256" spans="1:36">
      <c r="A256" s="1" t="str">
        <f>"ZCD3C8AA8B"</f>
        <v>ZCD3C8AA8B</v>
      </c>
      <c r="B256" s="1" t="str">
        <f t="shared" si="3"/>
        <v>02406911202</v>
      </c>
      <c r="C256" s="1" t="s">
        <v>13</v>
      </c>
      <c r="D256" s="1" t="s">
        <v>180</v>
      </c>
      <c r="E256" s="1" t="s">
        <v>281</v>
      </c>
      <c r="F256" s="1" t="s">
        <v>158</v>
      </c>
      <c r="G256" s="1" t="str">
        <f>"02417881204"</f>
        <v>02417881204</v>
      </c>
      <c r="I256" s="1" t="s">
        <v>328</v>
      </c>
      <c r="L256" s="1" t="s">
        <v>43</v>
      </c>
      <c r="M256" s="1">
        <v>6000</v>
      </c>
      <c r="AG256" s="1">
        <v>5890</v>
      </c>
      <c r="AH256" s="2">
        <v>45190</v>
      </c>
      <c r="AI256" s="2">
        <v>45291</v>
      </c>
      <c r="AJ256" s="2">
        <v>45190</v>
      </c>
    </row>
    <row r="257" spans="1:36">
      <c r="A257" s="1" t="str">
        <f>"Z2D3C8AC85"</f>
        <v>Z2D3C8AC85</v>
      </c>
      <c r="B257" s="1" t="str">
        <f t="shared" si="3"/>
        <v>02406911202</v>
      </c>
      <c r="C257" s="1" t="s">
        <v>13</v>
      </c>
      <c r="D257" s="1" t="s">
        <v>180</v>
      </c>
      <c r="E257" s="1" t="s">
        <v>181</v>
      </c>
      <c r="F257" s="1" t="s">
        <v>158</v>
      </c>
      <c r="G257" s="1" t="str">
        <f>"05619050585"</f>
        <v>05619050585</v>
      </c>
      <c r="I257" s="1" t="s">
        <v>430</v>
      </c>
      <c r="L257" s="1" t="s">
        <v>43</v>
      </c>
      <c r="M257" s="1">
        <v>5000</v>
      </c>
      <c r="AG257" s="1">
        <v>1572.42</v>
      </c>
      <c r="AH257" s="2">
        <v>45190</v>
      </c>
      <c r="AI257" s="2">
        <v>45291</v>
      </c>
      <c r="AJ257" s="2">
        <v>45190</v>
      </c>
    </row>
    <row r="258" spans="1:36">
      <c r="A258" s="1" t="str">
        <f>"ZF73C8B6D8"</f>
        <v>ZF73C8B6D8</v>
      </c>
      <c r="B258" s="1" t="str">
        <f t="shared" ref="B258:B321" si="4">"02406911202"</f>
        <v>02406911202</v>
      </c>
      <c r="C258" s="1" t="s">
        <v>13</v>
      </c>
      <c r="D258" s="1" t="s">
        <v>180</v>
      </c>
      <c r="E258" s="1" t="s">
        <v>220</v>
      </c>
      <c r="F258" s="1" t="s">
        <v>158</v>
      </c>
      <c r="G258" s="1" t="str">
        <f>"07155100964"</f>
        <v>07155100964</v>
      </c>
      <c r="I258" s="1" t="s">
        <v>431</v>
      </c>
      <c r="L258" s="1" t="s">
        <v>43</v>
      </c>
      <c r="M258" s="1">
        <v>6000</v>
      </c>
      <c r="AG258" s="1">
        <v>1128</v>
      </c>
      <c r="AH258" s="2">
        <v>45190</v>
      </c>
      <c r="AI258" s="2">
        <v>45657</v>
      </c>
      <c r="AJ258" s="2">
        <v>45190</v>
      </c>
    </row>
    <row r="259" spans="1:36">
      <c r="A259" s="1" t="str">
        <f>"95677903A1"</f>
        <v>95677903A1</v>
      </c>
      <c r="B259" s="1" t="str">
        <f t="shared" si="4"/>
        <v>02406911202</v>
      </c>
      <c r="C259" s="1" t="s">
        <v>13</v>
      </c>
      <c r="D259" s="1" t="s">
        <v>167</v>
      </c>
      <c r="E259" s="1" t="s">
        <v>432</v>
      </c>
      <c r="F259" s="1" t="s">
        <v>286</v>
      </c>
      <c r="G259" s="1" t="str">
        <f>"12572900152"</f>
        <v>12572900152</v>
      </c>
      <c r="I259" s="1" t="s">
        <v>335</v>
      </c>
      <c r="L259" s="1" t="s">
        <v>43</v>
      </c>
      <c r="M259" s="1">
        <v>1175416.3200000001</v>
      </c>
      <c r="AG259" s="1">
        <v>2463.25</v>
      </c>
      <c r="AH259" s="2">
        <v>45163</v>
      </c>
      <c r="AI259" s="2">
        <v>46623</v>
      </c>
      <c r="AJ259" s="2">
        <v>45163</v>
      </c>
    </row>
    <row r="260" spans="1:36">
      <c r="A260" s="1" t="str">
        <f>"Z073C8D543"</f>
        <v>Z073C8D543</v>
      </c>
      <c r="B260" s="1" t="str">
        <f t="shared" si="4"/>
        <v>02406911202</v>
      </c>
      <c r="C260" s="1" t="s">
        <v>13</v>
      </c>
      <c r="D260" s="1" t="s">
        <v>180</v>
      </c>
      <c r="E260" s="1" t="s">
        <v>281</v>
      </c>
      <c r="F260" s="1" t="s">
        <v>158</v>
      </c>
      <c r="G260" s="1" t="str">
        <f>"12572900152"</f>
        <v>12572900152</v>
      </c>
      <c r="I260" s="1" t="s">
        <v>335</v>
      </c>
      <c r="L260" s="1" t="s">
        <v>43</v>
      </c>
      <c r="M260" s="1">
        <v>6000</v>
      </c>
      <c r="AG260" s="1">
        <v>6755</v>
      </c>
      <c r="AH260" s="2">
        <v>45191</v>
      </c>
      <c r="AI260" s="2">
        <v>45291</v>
      </c>
      <c r="AJ260" s="2">
        <v>45191</v>
      </c>
    </row>
    <row r="261" spans="1:36">
      <c r="A261" s="1" t="str">
        <f>"Z283BC5806"</f>
        <v>Z283BC5806</v>
      </c>
      <c r="B261" s="1" t="str">
        <f t="shared" si="4"/>
        <v>02406911202</v>
      </c>
      <c r="C261" s="1" t="s">
        <v>13</v>
      </c>
      <c r="D261" s="1" t="s">
        <v>180</v>
      </c>
      <c r="E261" s="1" t="s">
        <v>220</v>
      </c>
      <c r="F261" s="1" t="s">
        <v>158</v>
      </c>
      <c r="G261" s="1" t="str">
        <f>"07424950157"</f>
        <v>07424950157</v>
      </c>
      <c r="I261" s="1" t="s">
        <v>433</v>
      </c>
      <c r="L261" s="1" t="s">
        <v>43</v>
      </c>
      <c r="M261" s="1">
        <v>6000</v>
      </c>
      <c r="AG261" s="1">
        <v>4620</v>
      </c>
      <c r="AH261" s="2">
        <v>45113</v>
      </c>
      <c r="AI261" s="2">
        <v>45291</v>
      </c>
      <c r="AJ261" s="2">
        <v>45113</v>
      </c>
    </row>
    <row r="262" spans="1:36">
      <c r="A262" s="1" t="str">
        <f>"Z373C0F4A1"</f>
        <v>Z373C0F4A1</v>
      </c>
      <c r="B262" s="1" t="str">
        <f t="shared" si="4"/>
        <v>02406911202</v>
      </c>
      <c r="C262" s="1" t="s">
        <v>13</v>
      </c>
      <c r="D262" s="1" t="s">
        <v>186</v>
      </c>
      <c r="E262" s="1" t="s">
        <v>434</v>
      </c>
      <c r="F262" s="1" t="s">
        <v>158</v>
      </c>
      <c r="G262" s="1" t="str">
        <f>"00307160374"</f>
        <v>00307160374</v>
      </c>
      <c r="I262" s="1" t="s">
        <v>435</v>
      </c>
      <c r="L262" s="1" t="s">
        <v>43</v>
      </c>
      <c r="M262" s="1">
        <v>4999</v>
      </c>
      <c r="AG262" s="1">
        <v>2869.75</v>
      </c>
      <c r="AH262" s="2">
        <v>45135</v>
      </c>
      <c r="AI262" s="2">
        <v>45322</v>
      </c>
      <c r="AJ262" s="2">
        <v>45135</v>
      </c>
    </row>
    <row r="263" spans="1:36">
      <c r="A263" s="1" t="str">
        <f>"ZD43C0F6BF"</f>
        <v>ZD43C0F6BF</v>
      </c>
      <c r="B263" s="1" t="str">
        <f t="shared" si="4"/>
        <v>02406911202</v>
      </c>
      <c r="C263" s="1" t="s">
        <v>13</v>
      </c>
      <c r="D263" s="1" t="s">
        <v>186</v>
      </c>
      <c r="E263" s="1" t="s">
        <v>353</v>
      </c>
      <c r="F263" s="1" t="s">
        <v>158</v>
      </c>
      <c r="G263" s="1" t="str">
        <f>"01675620387"</f>
        <v>01675620387</v>
      </c>
      <c r="I263" s="1" t="s">
        <v>436</v>
      </c>
      <c r="L263" s="1" t="s">
        <v>43</v>
      </c>
      <c r="M263" s="1">
        <v>342</v>
      </c>
      <c r="AG263" s="1">
        <v>342</v>
      </c>
      <c r="AH263" s="2">
        <v>45108</v>
      </c>
      <c r="AI263" s="2">
        <v>45138</v>
      </c>
      <c r="AJ263" s="2">
        <v>45108</v>
      </c>
    </row>
    <row r="264" spans="1:36">
      <c r="A264" s="1" t="str">
        <f>"Z1B3C12011"</f>
        <v>Z1B3C12011</v>
      </c>
      <c r="B264" s="1" t="str">
        <f t="shared" si="4"/>
        <v>02406911202</v>
      </c>
      <c r="C264" s="1" t="s">
        <v>13</v>
      </c>
      <c r="D264" s="1" t="s">
        <v>186</v>
      </c>
      <c r="E264" s="1" t="s">
        <v>437</v>
      </c>
      <c r="F264" s="1" t="s">
        <v>158</v>
      </c>
      <c r="G264" s="1" t="str">
        <f>"08864080158"</f>
        <v>08864080158</v>
      </c>
      <c r="I264" s="1" t="s">
        <v>438</v>
      </c>
      <c r="L264" s="1" t="s">
        <v>43</v>
      </c>
      <c r="M264" s="1">
        <v>4999</v>
      </c>
      <c r="AG264" s="1">
        <v>4923.2</v>
      </c>
      <c r="AH264" s="2">
        <v>45138</v>
      </c>
      <c r="AI264" s="2">
        <v>45291</v>
      </c>
      <c r="AJ264" s="2">
        <v>45138</v>
      </c>
    </row>
    <row r="265" spans="1:36">
      <c r="A265" s="1" t="str">
        <f>"ZCF3BDA15F"</f>
        <v>ZCF3BDA15F</v>
      </c>
      <c r="B265" s="1" t="str">
        <f t="shared" si="4"/>
        <v>02406911202</v>
      </c>
      <c r="C265" s="1" t="s">
        <v>13</v>
      </c>
      <c r="D265" s="1" t="s">
        <v>167</v>
      </c>
      <c r="E265" s="1" t="s">
        <v>439</v>
      </c>
      <c r="F265" s="1" t="s">
        <v>151</v>
      </c>
      <c r="G265" s="1" t="str">
        <f>"00228550273"</f>
        <v>00228550273</v>
      </c>
      <c r="I265" s="1" t="s">
        <v>201</v>
      </c>
      <c r="L265" s="1" t="s">
        <v>43</v>
      </c>
      <c r="M265" s="1">
        <v>22219.8</v>
      </c>
      <c r="AG265" s="1">
        <v>1041.5999999999999</v>
      </c>
      <c r="AH265" s="2">
        <v>45125</v>
      </c>
      <c r="AI265" s="2">
        <v>46203</v>
      </c>
      <c r="AJ265" s="2">
        <v>45125</v>
      </c>
    </row>
    <row r="266" spans="1:36">
      <c r="A266" s="1" t="str">
        <f>"Z2E3C18F14"</f>
        <v>Z2E3C18F14</v>
      </c>
      <c r="B266" s="1" t="str">
        <f t="shared" si="4"/>
        <v>02406911202</v>
      </c>
      <c r="C266" s="1" t="s">
        <v>13</v>
      </c>
      <c r="D266" s="1" t="s">
        <v>186</v>
      </c>
      <c r="E266" s="1" t="s">
        <v>440</v>
      </c>
      <c r="F266" s="1" t="s">
        <v>158</v>
      </c>
      <c r="G266" s="1" t="str">
        <f>"03597020373"</f>
        <v>03597020373</v>
      </c>
      <c r="I266" s="1" t="s">
        <v>254</v>
      </c>
      <c r="L266" s="1" t="s">
        <v>43</v>
      </c>
      <c r="M266" s="1">
        <v>4999</v>
      </c>
      <c r="AG266" s="1">
        <v>4733.3999999999996</v>
      </c>
      <c r="AH266" s="2">
        <v>45140</v>
      </c>
      <c r="AI266" s="2">
        <v>45291</v>
      </c>
      <c r="AJ266" s="2">
        <v>45140</v>
      </c>
    </row>
    <row r="267" spans="1:36">
      <c r="A267" s="1" t="str">
        <f>"Z373C52448"</f>
        <v>Z373C52448</v>
      </c>
      <c r="B267" s="1" t="str">
        <f t="shared" si="4"/>
        <v>02406911202</v>
      </c>
      <c r="C267" s="1" t="s">
        <v>13</v>
      </c>
      <c r="D267" s="1" t="s">
        <v>186</v>
      </c>
      <c r="E267" s="1" t="s">
        <v>441</v>
      </c>
      <c r="F267" s="1" t="s">
        <v>158</v>
      </c>
      <c r="G267" s="1" t="str">
        <f>"00667690044"</f>
        <v>00667690044</v>
      </c>
      <c r="I267" s="1" t="s">
        <v>442</v>
      </c>
      <c r="L267" s="1" t="s">
        <v>43</v>
      </c>
      <c r="M267" s="1">
        <v>4990</v>
      </c>
      <c r="AG267" s="1">
        <v>4971</v>
      </c>
      <c r="AH267" s="2">
        <v>45170</v>
      </c>
      <c r="AI267" s="2">
        <v>45199</v>
      </c>
      <c r="AJ267" s="2">
        <v>45170</v>
      </c>
    </row>
    <row r="268" spans="1:36">
      <c r="A268" s="1" t="str">
        <f>"Z513C56523"</f>
        <v>Z513C56523</v>
      </c>
      <c r="B268" s="1" t="str">
        <f t="shared" si="4"/>
        <v>02406911202</v>
      </c>
      <c r="C268" s="1" t="s">
        <v>13</v>
      </c>
      <c r="D268" s="1" t="s">
        <v>264</v>
      </c>
      <c r="E268" s="1" t="s">
        <v>443</v>
      </c>
      <c r="F268" s="1" t="s">
        <v>158</v>
      </c>
      <c r="G268" s="1" t="str">
        <f>"02481080964"</f>
        <v>02481080964</v>
      </c>
      <c r="I268" s="1" t="s">
        <v>444</v>
      </c>
      <c r="L268" s="1" t="s">
        <v>43</v>
      </c>
      <c r="M268" s="1">
        <v>2340</v>
      </c>
      <c r="AG268" s="1">
        <v>0</v>
      </c>
      <c r="AH268" s="2">
        <v>45173</v>
      </c>
      <c r="AI268" s="2">
        <v>45180</v>
      </c>
      <c r="AJ268" s="2">
        <v>45173</v>
      </c>
    </row>
    <row r="269" spans="1:36">
      <c r="A269" s="1" t="str">
        <f>"Z7F3C24A9C"</f>
        <v>Z7F3C24A9C</v>
      </c>
      <c r="B269" s="1" t="str">
        <f t="shared" si="4"/>
        <v>02406911202</v>
      </c>
      <c r="C269" s="1" t="s">
        <v>13</v>
      </c>
      <c r="D269" s="1" t="s">
        <v>186</v>
      </c>
      <c r="E269" s="1" t="s">
        <v>445</v>
      </c>
      <c r="F269" s="1" t="s">
        <v>158</v>
      </c>
      <c r="G269" s="1" t="str">
        <f>"03597020373"</f>
        <v>03597020373</v>
      </c>
      <c r="I269" s="1" t="s">
        <v>254</v>
      </c>
      <c r="L269" s="1" t="s">
        <v>43</v>
      </c>
      <c r="M269" s="1">
        <v>33800</v>
      </c>
      <c r="AG269" s="1">
        <v>4056</v>
      </c>
      <c r="AH269" s="2">
        <v>45173</v>
      </c>
      <c r="AI269" s="2">
        <v>45535</v>
      </c>
      <c r="AJ269" s="2">
        <v>45173</v>
      </c>
    </row>
    <row r="270" spans="1:36">
      <c r="A270" s="1" t="str">
        <f>"Z403C5C781"</f>
        <v>Z403C5C781</v>
      </c>
      <c r="B270" s="1" t="str">
        <f t="shared" si="4"/>
        <v>02406911202</v>
      </c>
      <c r="C270" s="1" t="s">
        <v>13</v>
      </c>
      <c r="D270" s="1" t="s">
        <v>180</v>
      </c>
      <c r="E270" s="1" t="s">
        <v>281</v>
      </c>
      <c r="F270" s="1" t="s">
        <v>158</v>
      </c>
      <c r="G270" s="1" t="str">
        <f>"12572900152"</f>
        <v>12572900152</v>
      </c>
      <c r="I270" s="1" t="s">
        <v>335</v>
      </c>
      <c r="L270" s="1" t="s">
        <v>43</v>
      </c>
      <c r="M270" s="1">
        <v>6000</v>
      </c>
      <c r="AG270" s="1">
        <v>6886.3</v>
      </c>
      <c r="AH270" s="2">
        <v>45175</v>
      </c>
      <c r="AI270" s="2">
        <v>45291</v>
      </c>
      <c r="AJ270" s="2">
        <v>45175</v>
      </c>
    </row>
    <row r="271" spans="1:36">
      <c r="A271" s="1" t="str">
        <f>"Z273C5C7A1"</f>
        <v>Z273C5C7A1</v>
      </c>
      <c r="B271" s="1" t="str">
        <f t="shared" si="4"/>
        <v>02406911202</v>
      </c>
      <c r="C271" s="1" t="s">
        <v>13</v>
      </c>
      <c r="D271" s="1" t="s">
        <v>180</v>
      </c>
      <c r="E271" s="1" t="s">
        <v>281</v>
      </c>
      <c r="F271" s="1" t="s">
        <v>158</v>
      </c>
      <c r="G271" s="1" t="str">
        <f>"07747160153"</f>
        <v>07747160153</v>
      </c>
      <c r="I271" s="1" t="s">
        <v>446</v>
      </c>
      <c r="L271" s="1" t="s">
        <v>43</v>
      </c>
      <c r="M271" s="1">
        <v>6000</v>
      </c>
      <c r="AG271" s="1">
        <v>6645</v>
      </c>
      <c r="AH271" s="2">
        <v>45175</v>
      </c>
      <c r="AI271" s="2">
        <v>45291</v>
      </c>
      <c r="AJ271" s="2">
        <v>45175</v>
      </c>
    </row>
    <row r="272" spans="1:36">
      <c r="A272" s="1" t="str">
        <f>"ZB93C5C7C3"</f>
        <v>ZB93C5C7C3</v>
      </c>
      <c r="B272" s="1" t="str">
        <f t="shared" si="4"/>
        <v>02406911202</v>
      </c>
      <c r="C272" s="1" t="s">
        <v>13</v>
      </c>
      <c r="D272" s="1" t="s">
        <v>180</v>
      </c>
      <c r="E272" s="1" t="s">
        <v>296</v>
      </c>
      <c r="F272" s="1" t="s">
        <v>158</v>
      </c>
      <c r="G272" s="1" t="str">
        <f>"00322800376"</f>
        <v>00322800376</v>
      </c>
      <c r="I272" s="1" t="s">
        <v>329</v>
      </c>
      <c r="L272" s="1" t="s">
        <v>43</v>
      </c>
      <c r="M272" s="1">
        <v>6000</v>
      </c>
      <c r="AG272" s="1">
        <v>5203.17</v>
      </c>
      <c r="AH272" s="2">
        <v>45175</v>
      </c>
      <c r="AI272" s="2">
        <v>45291</v>
      </c>
      <c r="AJ272" s="2">
        <v>45175</v>
      </c>
    </row>
    <row r="273" spans="1:36">
      <c r="A273" s="1" t="str">
        <f>"ZCC3C5C7FB"</f>
        <v>ZCC3C5C7FB</v>
      </c>
      <c r="B273" s="1" t="str">
        <f t="shared" si="4"/>
        <v>02406911202</v>
      </c>
      <c r="C273" s="1" t="s">
        <v>13</v>
      </c>
      <c r="D273" s="1" t="s">
        <v>180</v>
      </c>
      <c r="E273" s="1" t="s">
        <v>296</v>
      </c>
      <c r="F273" s="1" t="s">
        <v>158</v>
      </c>
      <c r="G273" s="1" t="str">
        <f>"01368670384"</f>
        <v>01368670384</v>
      </c>
      <c r="I273" s="1" t="s">
        <v>214</v>
      </c>
      <c r="L273" s="1" t="s">
        <v>43</v>
      </c>
      <c r="M273" s="1">
        <v>6000</v>
      </c>
      <c r="AG273" s="1">
        <v>3200</v>
      </c>
      <c r="AH273" s="2">
        <v>45175</v>
      </c>
      <c r="AI273" s="2">
        <v>45291</v>
      </c>
      <c r="AJ273" s="2">
        <v>45175</v>
      </c>
    </row>
    <row r="274" spans="1:36">
      <c r="A274" s="1" t="str">
        <f>"Z8B3C5D5D6"</f>
        <v>Z8B3C5D5D6</v>
      </c>
      <c r="B274" s="1" t="str">
        <f t="shared" si="4"/>
        <v>02406911202</v>
      </c>
      <c r="C274" s="1" t="s">
        <v>13</v>
      </c>
      <c r="D274" s="1" t="s">
        <v>180</v>
      </c>
      <c r="E274" s="1" t="s">
        <v>181</v>
      </c>
      <c r="F274" s="1" t="s">
        <v>158</v>
      </c>
      <c r="G274" s="1" t="str">
        <f>"01679130060"</f>
        <v>01679130060</v>
      </c>
      <c r="I274" s="1" t="s">
        <v>447</v>
      </c>
      <c r="L274" s="1" t="s">
        <v>43</v>
      </c>
      <c r="M274" s="1">
        <v>6000</v>
      </c>
      <c r="AG274" s="1">
        <v>1015</v>
      </c>
      <c r="AH274" s="2">
        <v>45175</v>
      </c>
      <c r="AI274" s="2">
        <v>45291</v>
      </c>
      <c r="AJ274" s="2">
        <v>45175</v>
      </c>
    </row>
    <row r="275" spans="1:36">
      <c r="A275" s="1" t="str">
        <f>"ZCC3C5DF83"</f>
        <v>ZCC3C5DF83</v>
      </c>
      <c r="B275" s="1" t="str">
        <f t="shared" si="4"/>
        <v>02406911202</v>
      </c>
      <c r="C275" s="1" t="s">
        <v>13</v>
      </c>
      <c r="D275" s="1" t="s">
        <v>180</v>
      </c>
      <c r="E275" s="1" t="s">
        <v>296</v>
      </c>
      <c r="F275" s="1" t="s">
        <v>158</v>
      </c>
      <c r="G275" s="1" t="str">
        <f>"07123400157"</f>
        <v>07123400157</v>
      </c>
      <c r="I275" s="1" t="s">
        <v>120</v>
      </c>
      <c r="L275" s="1" t="s">
        <v>43</v>
      </c>
      <c r="M275" s="1">
        <v>6000</v>
      </c>
      <c r="AG275" s="1">
        <v>5120.5</v>
      </c>
      <c r="AH275" s="2">
        <v>45175</v>
      </c>
      <c r="AI275" s="2">
        <v>45291</v>
      </c>
      <c r="AJ275" s="2">
        <v>45175</v>
      </c>
    </row>
    <row r="276" spans="1:36">
      <c r="A276" s="1" t="str">
        <f>"ZF43C5E273"</f>
        <v>ZF43C5E273</v>
      </c>
      <c r="B276" s="1" t="str">
        <f t="shared" si="4"/>
        <v>02406911202</v>
      </c>
      <c r="C276" s="1" t="s">
        <v>13</v>
      </c>
      <c r="D276" s="1" t="s">
        <v>180</v>
      </c>
      <c r="E276" s="1" t="s">
        <v>296</v>
      </c>
      <c r="F276" s="1" t="s">
        <v>158</v>
      </c>
      <c r="G276" s="1" t="str">
        <f>"01438290536"</f>
        <v>01438290536</v>
      </c>
      <c r="I276" s="1" t="s">
        <v>448</v>
      </c>
      <c r="L276" s="1" t="s">
        <v>43</v>
      </c>
      <c r="M276" s="1">
        <v>5000</v>
      </c>
      <c r="AG276" s="1">
        <v>0</v>
      </c>
      <c r="AH276" s="2">
        <v>45175</v>
      </c>
      <c r="AI276" s="2">
        <v>45291</v>
      </c>
      <c r="AJ276" s="2">
        <v>45175</v>
      </c>
    </row>
    <row r="277" spans="1:36">
      <c r="A277" s="1" t="str">
        <f>"Z633C04538"</f>
        <v>Z633C04538</v>
      </c>
      <c r="B277" s="1" t="str">
        <f t="shared" si="4"/>
        <v>02406911202</v>
      </c>
      <c r="C277" s="1" t="s">
        <v>13</v>
      </c>
      <c r="D277" s="1" t="s">
        <v>180</v>
      </c>
      <c r="E277" s="1" t="s">
        <v>220</v>
      </c>
      <c r="F277" s="1" t="s">
        <v>158</v>
      </c>
      <c r="H277" s="1" t="str">
        <f>"0671983435"</f>
        <v>0671983435</v>
      </c>
      <c r="I277" s="1" t="s">
        <v>449</v>
      </c>
      <c r="L277" s="1" t="s">
        <v>43</v>
      </c>
      <c r="M277" s="1">
        <v>5000</v>
      </c>
      <c r="AG277" s="1">
        <v>1450.3</v>
      </c>
      <c r="AH277" s="2">
        <v>45133</v>
      </c>
      <c r="AI277" s="2">
        <v>45291</v>
      </c>
      <c r="AJ277" s="2">
        <v>45133</v>
      </c>
    </row>
    <row r="278" spans="1:36">
      <c r="A278" s="1" t="str">
        <f>"A000AA8C07"</f>
        <v>A000AA8C07</v>
      </c>
      <c r="B278" s="1" t="str">
        <f t="shared" si="4"/>
        <v>02406911202</v>
      </c>
      <c r="C278" s="1" t="s">
        <v>13</v>
      </c>
      <c r="D278" s="1" t="s">
        <v>167</v>
      </c>
      <c r="E278" s="1" t="s">
        <v>450</v>
      </c>
      <c r="F278" s="1" t="s">
        <v>151</v>
      </c>
      <c r="G278" s="1" t="str">
        <f>"00674840152"</f>
        <v>00674840152</v>
      </c>
      <c r="I278" s="1" t="s">
        <v>87</v>
      </c>
      <c r="L278" s="1" t="s">
        <v>43</v>
      </c>
      <c r="M278" s="1">
        <v>4100</v>
      </c>
      <c r="AG278" s="1">
        <v>338</v>
      </c>
      <c r="AH278" s="2">
        <v>45139</v>
      </c>
      <c r="AI278" s="2">
        <v>45230</v>
      </c>
      <c r="AJ278" s="2">
        <v>45139</v>
      </c>
    </row>
    <row r="279" spans="1:36">
      <c r="A279" s="1" t="str">
        <f>"A000ABDD5B"</f>
        <v>A000ABDD5B</v>
      </c>
      <c r="B279" s="1" t="str">
        <f t="shared" si="4"/>
        <v>02406911202</v>
      </c>
      <c r="C279" s="1" t="s">
        <v>13</v>
      </c>
      <c r="D279" s="1" t="s">
        <v>167</v>
      </c>
      <c r="E279" s="1" t="s">
        <v>450</v>
      </c>
      <c r="F279" s="1" t="s">
        <v>151</v>
      </c>
      <c r="G279" s="1" t="str">
        <f>"03597020373"</f>
        <v>03597020373</v>
      </c>
      <c r="I279" s="1" t="s">
        <v>254</v>
      </c>
      <c r="L279" s="1" t="s">
        <v>43</v>
      </c>
      <c r="M279" s="1">
        <v>40000</v>
      </c>
      <c r="AG279" s="1">
        <v>0</v>
      </c>
      <c r="AH279" s="2">
        <v>45139</v>
      </c>
      <c r="AI279" s="2">
        <v>45230</v>
      </c>
      <c r="AJ279" s="2">
        <v>45139</v>
      </c>
    </row>
    <row r="280" spans="1:36">
      <c r="A280" s="1" t="str">
        <f>"A000ACDA90"</f>
        <v>A000ACDA90</v>
      </c>
      <c r="B280" s="1" t="str">
        <f t="shared" si="4"/>
        <v>02406911202</v>
      </c>
      <c r="C280" s="1" t="s">
        <v>13</v>
      </c>
      <c r="D280" s="1" t="s">
        <v>167</v>
      </c>
      <c r="E280" s="1" t="s">
        <v>450</v>
      </c>
      <c r="F280" s="1" t="s">
        <v>151</v>
      </c>
      <c r="G280" s="1" t="str">
        <f>"06324460150"</f>
        <v>06324460150</v>
      </c>
      <c r="I280" s="1" t="s">
        <v>451</v>
      </c>
      <c r="L280" s="1" t="s">
        <v>43</v>
      </c>
      <c r="M280" s="1">
        <v>50750</v>
      </c>
      <c r="AG280" s="1">
        <v>18708</v>
      </c>
      <c r="AH280" s="2">
        <v>45139</v>
      </c>
      <c r="AI280" s="2">
        <v>45230</v>
      </c>
      <c r="AJ280" s="2">
        <v>45139</v>
      </c>
    </row>
    <row r="281" spans="1:36">
      <c r="A281" s="1" t="str">
        <f>"9840188C03"</f>
        <v>9840188C03</v>
      </c>
      <c r="B281" s="1" t="str">
        <f t="shared" si="4"/>
        <v>02406911202</v>
      </c>
      <c r="C281" s="1" t="s">
        <v>13</v>
      </c>
      <c r="D281" s="1" t="s">
        <v>167</v>
      </c>
      <c r="E281" s="1" t="s">
        <v>452</v>
      </c>
      <c r="F281" s="1" t="s">
        <v>286</v>
      </c>
      <c r="G281" s="1" t="str">
        <f>"08592930963"</f>
        <v>08592930963</v>
      </c>
      <c r="I281" s="1" t="s">
        <v>453</v>
      </c>
      <c r="L281" s="1" t="s">
        <v>43</v>
      </c>
      <c r="M281" s="1">
        <v>995687</v>
      </c>
      <c r="AG281" s="1">
        <v>0</v>
      </c>
      <c r="AH281" s="2">
        <v>45139</v>
      </c>
      <c r="AI281" s="2">
        <v>46599</v>
      </c>
      <c r="AJ281" s="2">
        <v>45139</v>
      </c>
    </row>
    <row r="282" spans="1:36">
      <c r="A282" s="1" t="str">
        <f>"984031225A"</f>
        <v>984031225A</v>
      </c>
      <c r="B282" s="1" t="str">
        <f t="shared" si="4"/>
        <v>02406911202</v>
      </c>
      <c r="C282" s="1" t="s">
        <v>13</v>
      </c>
      <c r="D282" s="1" t="s">
        <v>167</v>
      </c>
      <c r="E282" s="1" t="s">
        <v>454</v>
      </c>
      <c r="F282" s="1" t="s">
        <v>286</v>
      </c>
      <c r="G282" s="1" t="str">
        <f>"10852890150"</f>
        <v>10852890150</v>
      </c>
      <c r="I282" s="1" t="s">
        <v>455</v>
      </c>
      <c r="L282" s="1" t="s">
        <v>43</v>
      </c>
      <c r="M282" s="1">
        <v>585846.31999999995</v>
      </c>
      <c r="AG282" s="1">
        <v>14365.52</v>
      </c>
      <c r="AH282" s="2">
        <v>45139</v>
      </c>
      <c r="AI282" s="2">
        <v>46599</v>
      </c>
      <c r="AJ282" s="2">
        <v>45139</v>
      </c>
    </row>
    <row r="283" spans="1:36">
      <c r="A283" s="1" t="str">
        <f>"Z063BD693C"</f>
        <v>Z063BD693C</v>
      </c>
      <c r="B283" s="1" t="str">
        <f t="shared" si="4"/>
        <v>02406911202</v>
      </c>
      <c r="C283" s="1" t="s">
        <v>13</v>
      </c>
      <c r="D283" s="1" t="s">
        <v>186</v>
      </c>
      <c r="E283" s="1" t="s">
        <v>456</v>
      </c>
      <c r="F283" s="1" t="s">
        <v>158</v>
      </c>
      <c r="G283" s="1" t="str">
        <f>"11160660152"</f>
        <v>11160660152</v>
      </c>
      <c r="I283" s="1" t="s">
        <v>457</v>
      </c>
      <c r="L283" s="1" t="s">
        <v>43</v>
      </c>
      <c r="M283" s="1">
        <v>4999</v>
      </c>
      <c r="AG283" s="1">
        <v>2160</v>
      </c>
      <c r="AH283" s="2">
        <v>45114</v>
      </c>
      <c r="AI283" s="2">
        <v>45291</v>
      </c>
      <c r="AJ283" s="2">
        <v>45114</v>
      </c>
    </row>
    <row r="284" spans="1:36">
      <c r="A284" s="1" t="str">
        <f>"Z723BD07DD"</f>
        <v>Z723BD07DD</v>
      </c>
      <c r="B284" s="1" t="str">
        <f t="shared" si="4"/>
        <v>02406911202</v>
      </c>
      <c r="C284" s="1" t="s">
        <v>13</v>
      </c>
      <c r="D284" s="1" t="s">
        <v>180</v>
      </c>
      <c r="E284" s="1" t="s">
        <v>244</v>
      </c>
      <c r="F284" s="1" t="s">
        <v>158</v>
      </c>
      <c r="G284" s="1" t="str">
        <f>"00759430267"</f>
        <v>00759430267</v>
      </c>
      <c r="I284" s="1" t="s">
        <v>327</v>
      </c>
      <c r="L284" s="1" t="s">
        <v>43</v>
      </c>
      <c r="M284" s="1">
        <v>6000</v>
      </c>
      <c r="AG284" s="1">
        <v>6052.91</v>
      </c>
      <c r="AH284" s="2">
        <v>45117</v>
      </c>
      <c r="AI284" s="2">
        <v>45291</v>
      </c>
      <c r="AJ284" s="2">
        <v>45117</v>
      </c>
    </row>
    <row r="285" spans="1:36">
      <c r="A285" s="1" t="str">
        <f>"Z6E3BE8A12"</f>
        <v>Z6E3BE8A12</v>
      </c>
      <c r="B285" s="1" t="str">
        <f t="shared" si="4"/>
        <v>02406911202</v>
      </c>
      <c r="C285" s="1" t="s">
        <v>13</v>
      </c>
      <c r="D285" s="1" t="s">
        <v>180</v>
      </c>
      <c r="E285" s="1" t="s">
        <v>458</v>
      </c>
      <c r="F285" s="1" t="s">
        <v>158</v>
      </c>
      <c r="G285" s="1" t="str">
        <f>"02550611202"</f>
        <v>02550611202</v>
      </c>
      <c r="I285" s="1" t="s">
        <v>459</v>
      </c>
      <c r="L285" s="1" t="s">
        <v>43</v>
      </c>
      <c r="M285" s="1">
        <v>5000</v>
      </c>
      <c r="AG285" s="1">
        <v>3350</v>
      </c>
      <c r="AH285" s="2">
        <v>45124</v>
      </c>
      <c r="AI285" s="2">
        <v>45291</v>
      </c>
      <c r="AJ285" s="2">
        <v>45124</v>
      </c>
    </row>
    <row r="286" spans="1:36">
      <c r="A286" s="1" t="str">
        <f>"Z793BE8E04"</f>
        <v>Z793BE8E04</v>
      </c>
      <c r="B286" s="1" t="str">
        <f t="shared" si="4"/>
        <v>02406911202</v>
      </c>
      <c r="C286" s="1" t="s">
        <v>13</v>
      </c>
      <c r="D286" s="1" t="s">
        <v>177</v>
      </c>
      <c r="E286" s="1" t="s">
        <v>460</v>
      </c>
      <c r="F286" s="1" t="s">
        <v>158</v>
      </c>
      <c r="G286" s="1" t="str">
        <f>"01596500387"</f>
        <v>01596500387</v>
      </c>
      <c r="I286" s="1" t="s">
        <v>461</v>
      </c>
      <c r="L286" s="1" t="s">
        <v>43</v>
      </c>
      <c r="M286" s="1">
        <v>504.13</v>
      </c>
      <c r="AG286" s="1">
        <v>504.14</v>
      </c>
      <c r="AH286" s="2">
        <v>45124</v>
      </c>
      <c r="AI286" s="2">
        <v>45291</v>
      </c>
      <c r="AJ286" s="2">
        <v>45124</v>
      </c>
    </row>
    <row r="287" spans="1:36">
      <c r="A287" s="1" t="str">
        <f>"ZB33BE92DD"</f>
        <v>ZB33BE92DD</v>
      </c>
      <c r="B287" s="1" t="str">
        <f t="shared" si="4"/>
        <v>02406911202</v>
      </c>
      <c r="C287" s="1" t="s">
        <v>13</v>
      </c>
      <c r="D287" s="1" t="s">
        <v>177</v>
      </c>
      <c r="E287" s="1" t="s">
        <v>462</v>
      </c>
      <c r="F287" s="1" t="s">
        <v>158</v>
      </c>
      <c r="G287" s="1" t="str">
        <f>"01596500387"</f>
        <v>01596500387</v>
      </c>
      <c r="I287" s="1" t="s">
        <v>461</v>
      </c>
      <c r="L287" s="1" t="s">
        <v>43</v>
      </c>
      <c r="M287" s="1">
        <v>4036.9</v>
      </c>
      <c r="AG287" s="1">
        <v>4036.9</v>
      </c>
      <c r="AH287" s="2">
        <v>45124</v>
      </c>
      <c r="AI287" s="2">
        <v>45291</v>
      </c>
      <c r="AJ287" s="2">
        <v>45124</v>
      </c>
    </row>
    <row r="288" spans="1:36">
      <c r="A288" s="1" t="str">
        <f>"A0034AD8FD"</f>
        <v>A0034AD8FD</v>
      </c>
      <c r="B288" s="1" t="str">
        <f t="shared" si="4"/>
        <v>02406911202</v>
      </c>
      <c r="C288" s="1" t="s">
        <v>13</v>
      </c>
      <c r="D288" s="1" t="s">
        <v>167</v>
      </c>
      <c r="E288" s="1" t="s">
        <v>463</v>
      </c>
      <c r="F288" s="1" t="s">
        <v>151</v>
      </c>
      <c r="G288" s="1" t="str">
        <f>"02169281207"</f>
        <v>02169281207</v>
      </c>
      <c r="I288" s="1" t="s">
        <v>464</v>
      </c>
      <c r="L288" s="1" t="s">
        <v>43</v>
      </c>
      <c r="M288" s="1">
        <v>131132</v>
      </c>
      <c r="AG288" s="1">
        <v>1804.89</v>
      </c>
      <c r="AH288" s="2">
        <v>45108</v>
      </c>
      <c r="AI288" s="2">
        <v>46934</v>
      </c>
      <c r="AJ288" s="2">
        <v>45108</v>
      </c>
    </row>
    <row r="289" spans="1:36">
      <c r="A289" s="1" t="str">
        <f>"ZC53C2E7B9"</f>
        <v>ZC53C2E7B9</v>
      </c>
      <c r="B289" s="1" t="str">
        <f t="shared" si="4"/>
        <v>02406911202</v>
      </c>
      <c r="C289" s="1" t="s">
        <v>13</v>
      </c>
      <c r="D289" s="1" t="s">
        <v>264</v>
      </c>
      <c r="E289" s="1" t="s">
        <v>465</v>
      </c>
      <c r="F289" s="1" t="s">
        <v>158</v>
      </c>
      <c r="G289" s="1" t="str">
        <f>"01197540196"</f>
        <v>01197540196</v>
      </c>
      <c r="I289" s="1" t="s">
        <v>466</v>
      </c>
      <c r="L289" s="1" t="s">
        <v>43</v>
      </c>
      <c r="M289" s="1">
        <v>5000</v>
      </c>
      <c r="AG289" s="1">
        <v>0</v>
      </c>
      <c r="AH289" s="2">
        <v>45148</v>
      </c>
      <c r="AI289" s="2">
        <v>45291</v>
      </c>
      <c r="AJ289" s="2">
        <v>45148</v>
      </c>
    </row>
    <row r="290" spans="1:36">
      <c r="A290" s="1" t="str">
        <f>"ZA63C3059B"</f>
        <v>ZA63C3059B</v>
      </c>
      <c r="B290" s="1" t="str">
        <f t="shared" si="4"/>
        <v>02406911202</v>
      </c>
      <c r="C290" s="1" t="s">
        <v>13</v>
      </c>
      <c r="D290" s="1" t="s">
        <v>180</v>
      </c>
      <c r="E290" s="1" t="s">
        <v>279</v>
      </c>
      <c r="F290" s="1" t="s">
        <v>158</v>
      </c>
      <c r="H290" s="1" t="str">
        <f>"825580900B01"</f>
        <v>825580900B01</v>
      </c>
      <c r="I290" s="1" t="s">
        <v>467</v>
      </c>
      <c r="L290" s="1" t="s">
        <v>43</v>
      </c>
      <c r="M290" s="1">
        <v>6000</v>
      </c>
      <c r="AG290" s="1">
        <v>3348.75</v>
      </c>
      <c r="AH290" s="2">
        <v>45149</v>
      </c>
      <c r="AI290" s="2">
        <v>45291</v>
      </c>
      <c r="AJ290" s="2">
        <v>45149</v>
      </c>
    </row>
    <row r="291" spans="1:36">
      <c r="A291" s="1" t="str">
        <f>"ZC93C3053C"</f>
        <v>ZC93C3053C</v>
      </c>
      <c r="B291" s="1" t="str">
        <f t="shared" si="4"/>
        <v>02406911202</v>
      </c>
      <c r="C291" s="1" t="s">
        <v>13</v>
      </c>
      <c r="D291" s="1" t="s">
        <v>180</v>
      </c>
      <c r="E291" s="1" t="s">
        <v>296</v>
      </c>
      <c r="F291" s="1" t="s">
        <v>158</v>
      </c>
      <c r="G291" s="1" t="str">
        <f>"06068041000"</f>
        <v>06068041000</v>
      </c>
      <c r="I291" s="1" t="s">
        <v>468</v>
      </c>
      <c r="L291" s="1" t="s">
        <v>43</v>
      </c>
      <c r="M291" s="1">
        <v>6000</v>
      </c>
      <c r="AG291" s="1">
        <v>5700</v>
      </c>
      <c r="AH291" s="2">
        <v>45149</v>
      </c>
      <c r="AI291" s="2">
        <v>45291</v>
      </c>
      <c r="AJ291" s="2">
        <v>45149</v>
      </c>
    </row>
    <row r="292" spans="1:36">
      <c r="A292" s="1" t="str">
        <f>"Z553C30558"</f>
        <v>Z553C30558</v>
      </c>
      <c r="B292" s="1" t="str">
        <f t="shared" si="4"/>
        <v>02406911202</v>
      </c>
      <c r="C292" s="1" t="s">
        <v>13</v>
      </c>
      <c r="D292" s="1" t="s">
        <v>180</v>
      </c>
      <c r="E292" s="1" t="s">
        <v>281</v>
      </c>
      <c r="F292" s="1" t="s">
        <v>158</v>
      </c>
      <c r="G292" s="1" t="str">
        <f>"12572900152"</f>
        <v>12572900152</v>
      </c>
      <c r="I292" s="1" t="s">
        <v>335</v>
      </c>
      <c r="L292" s="1" t="s">
        <v>43</v>
      </c>
      <c r="M292" s="1">
        <v>6000</v>
      </c>
      <c r="AG292" s="1">
        <v>6023.07</v>
      </c>
      <c r="AH292" s="2">
        <v>45149</v>
      </c>
      <c r="AI292" s="2">
        <v>45291</v>
      </c>
      <c r="AJ292" s="2">
        <v>45149</v>
      </c>
    </row>
    <row r="293" spans="1:36">
      <c r="A293" s="1" t="str">
        <f>"9790329313"</f>
        <v>9790329313</v>
      </c>
      <c r="B293" s="1" t="str">
        <f t="shared" si="4"/>
        <v>02406911202</v>
      </c>
      <c r="C293" s="1" t="s">
        <v>13</v>
      </c>
      <c r="D293" s="1" t="s">
        <v>167</v>
      </c>
      <c r="E293" s="1" t="s">
        <v>469</v>
      </c>
      <c r="F293" s="1" t="s">
        <v>39</v>
      </c>
      <c r="G293" s="1" t="str">
        <f>"04606020875"</f>
        <v>04606020875</v>
      </c>
      <c r="I293" s="1" t="s">
        <v>470</v>
      </c>
      <c r="L293" s="1" t="s">
        <v>43</v>
      </c>
      <c r="M293" s="1">
        <v>25000</v>
      </c>
      <c r="AG293" s="1">
        <v>25000</v>
      </c>
      <c r="AH293" s="2">
        <v>45120</v>
      </c>
      <c r="AI293" s="2">
        <v>45291</v>
      </c>
      <c r="AJ293" s="2">
        <v>45120</v>
      </c>
    </row>
    <row r="294" spans="1:36">
      <c r="A294" s="1" t="str">
        <f>"Z303C30628"</f>
        <v>Z303C30628</v>
      </c>
      <c r="B294" s="1" t="str">
        <f t="shared" si="4"/>
        <v>02406911202</v>
      </c>
      <c r="C294" s="1" t="s">
        <v>13</v>
      </c>
      <c r="D294" s="1" t="s">
        <v>180</v>
      </c>
      <c r="E294" s="1" t="s">
        <v>279</v>
      </c>
      <c r="F294" s="1" t="s">
        <v>158</v>
      </c>
      <c r="H294" s="1" t="str">
        <f>"825580900B01"</f>
        <v>825580900B01</v>
      </c>
      <c r="I294" s="1" t="s">
        <v>467</v>
      </c>
      <c r="L294" s="1" t="s">
        <v>43</v>
      </c>
      <c r="M294" s="1">
        <v>6000</v>
      </c>
      <c r="AG294" s="1">
        <v>3348.75</v>
      </c>
      <c r="AH294" s="2">
        <v>45149</v>
      </c>
      <c r="AI294" s="2">
        <v>45291</v>
      </c>
      <c r="AJ294" s="2">
        <v>45149</v>
      </c>
    </row>
    <row r="295" spans="1:36">
      <c r="A295" s="1" t="str">
        <f>"Z7A3C5A32C"</f>
        <v>Z7A3C5A32C</v>
      </c>
      <c r="B295" s="1" t="str">
        <f t="shared" si="4"/>
        <v>02406911202</v>
      </c>
      <c r="C295" s="1" t="s">
        <v>13</v>
      </c>
      <c r="D295" s="1" t="s">
        <v>186</v>
      </c>
      <c r="E295" s="1" t="s">
        <v>471</v>
      </c>
      <c r="F295" s="1" t="s">
        <v>151</v>
      </c>
      <c r="G295" s="1" t="str">
        <f>"00145810628"</f>
        <v>00145810628</v>
      </c>
      <c r="I295" s="1" t="s">
        <v>472</v>
      </c>
      <c r="L295" s="1" t="s">
        <v>43</v>
      </c>
      <c r="M295" s="1">
        <v>10192.69</v>
      </c>
      <c r="AG295" s="1">
        <v>0</v>
      </c>
      <c r="AH295" s="2">
        <v>45175</v>
      </c>
      <c r="AI295" s="2">
        <v>45291</v>
      </c>
      <c r="AJ295" s="2">
        <v>45175</v>
      </c>
    </row>
    <row r="296" spans="1:36">
      <c r="A296" s="1" t="str">
        <f>"A00710BA08"</f>
        <v>A00710BA08</v>
      </c>
      <c r="B296" s="1" t="str">
        <f t="shared" si="4"/>
        <v>02406911202</v>
      </c>
      <c r="C296" s="1" t="s">
        <v>13</v>
      </c>
      <c r="D296" s="1" t="s">
        <v>167</v>
      </c>
      <c r="E296" s="1" t="s">
        <v>473</v>
      </c>
      <c r="F296" s="1" t="s">
        <v>39</v>
      </c>
      <c r="G296" s="1" t="str">
        <f>"13730121004"</f>
        <v>13730121004</v>
      </c>
      <c r="I296" s="1" t="s">
        <v>474</v>
      </c>
      <c r="L296" s="1" t="s">
        <v>43</v>
      </c>
      <c r="M296" s="1">
        <v>233333.85</v>
      </c>
      <c r="AG296" s="1">
        <v>13051.46</v>
      </c>
      <c r="AH296" s="2">
        <v>45172</v>
      </c>
      <c r="AI296" s="2">
        <v>45902</v>
      </c>
      <c r="AJ296" s="2">
        <v>45172</v>
      </c>
    </row>
    <row r="297" spans="1:36">
      <c r="A297" s="1" t="str">
        <f>"A00C84ECC1"</f>
        <v>A00C84ECC1</v>
      </c>
      <c r="B297" s="1" t="str">
        <f t="shared" si="4"/>
        <v>02406911202</v>
      </c>
      <c r="C297" s="1" t="s">
        <v>13</v>
      </c>
      <c r="D297" s="1" t="s">
        <v>167</v>
      </c>
      <c r="E297" s="1" t="s">
        <v>475</v>
      </c>
      <c r="F297" s="1" t="s">
        <v>39</v>
      </c>
      <c r="G297" s="1" t="str">
        <f>"11187430159"</f>
        <v>11187430159</v>
      </c>
      <c r="I297" s="1" t="s">
        <v>476</v>
      </c>
      <c r="L297" s="1" t="s">
        <v>43</v>
      </c>
      <c r="M297" s="1">
        <v>120896</v>
      </c>
      <c r="AG297" s="1">
        <v>194288.64000000001</v>
      </c>
      <c r="AH297" s="2">
        <v>45180</v>
      </c>
      <c r="AI297" s="2">
        <v>45545</v>
      </c>
      <c r="AJ297" s="2">
        <v>45180</v>
      </c>
    </row>
    <row r="298" spans="1:36">
      <c r="A298" s="1" t="str">
        <f>"ZDB3C66BD7"</f>
        <v>ZDB3C66BD7</v>
      </c>
      <c r="B298" s="1" t="str">
        <f t="shared" si="4"/>
        <v>02406911202</v>
      </c>
      <c r="C298" s="1" t="s">
        <v>13</v>
      </c>
      <c r="D298" s="1" t="s">
        <v>264</v>
      </c>
      <c r="E298" s="1" t="s">
        <v>477</v>
      </c>
      <c r="F298" s="1" t="s">
        <v>158</v>
      </c>
      <c r="G298" s="1" t="str">
        <f>"91155450371"</f>
        <v>91155450371</v>
      </c>
      <c r="I298" s="1" t="s">
        <v>369</v>
      </c>
      <c r="L298" s="1" t="s">
        <v>43</v>
      </c>
      <c r="M298" s="1">
        <v>25800</v>
      </c>
      <c r="AG298" s="1">
        <v>0</v>
      </c>
      <c r="AH298" s="2">
        <v>45180</v>
      </c>
      <c r="AI298" s="2">
        <v>45215</v>
      </c>
      <c r="AJ298" s="2">
        <v>45180</v>
      </c>
    </row>
    <row r="299" spans="1:36">
      <c r="A299" s="1" t="str">
        <f>"Z233C685BE"</f>
        <v>Z233C685BE</v>
      </c>
      <c r="B299" s="1" t="str">
        <f t="shared" si="4"/>
        <v>02406911202</v>
      </c>
      <c r="C299" s="1" t="s">
        <v>13</v>
      </c>
      <c r="D299" s="1" t="s">
        <v>180</v>
      </c>
      <c r="E299" s="1" t="s">
        <v>281</v>
      </c>
      <c r="F299" s="1" t="s">
        <v>158</v>
      </c>
      <c r="G299" s="1" t="str">
        <f>"03353370160"</f>
        <v>03353370160</v>
      </c>
      <c r="I299" s="1" t="s">
        <v>478</v>
      </c>
      <c r="L299" s="1" t="s">
        <v>43</v>
      </c>
      <c r="M299" s="1">
        <v>6000</v>
      </c>
      <c r="AG299" s="1">
        <v>2031.85</v>
      </c>
      <c r="AH299" s="2">
        <v>45180</v>
      </c>
      <c r="AI299" s="2">
        <v>45291</v>
      </c>
      <c r="AJ299" s="2">
        <v>45180</v>
      </c>
    </row>
    <row r="300" spans="1:36">
      <c r="A300" s="1" t="str">
        <f>"Z9D3C68740"</f>
        <v>Z9D3C68740</v>
      </c>
      <c r="B300" s="1" t="str">
        <f t="shared" si="4"/>
        <v>02406911202</v>
      </c>
      <c r="C300" s="1" t="s">
        <v>13</v>
      </c>
      <c r="D300" s="1" t="s">
        <v>180</v>
      </c>
      <c r="E300" s="1" t="s">
        <v>281</v>
      </c>
      <c r="F300" s="1" t="s">
        <v>158</v>
      </c>
      <c r="G300" s="1" t="str">
        <f>"09270550016"</f>
        <v>09270550016</v>
      </c>
      <c r="I300" s="1" t="s">
        <v>406</v>
      </c>
      <c r="L300" s="1" t="s">
        <v>43</v>
      </c>
      <c r="M300" s="1">
        <v>5000</v>
      </c>
      <c r="AG300" s="1">
        <v>6922.98</v>
      </c>
      <c r="AH300" s="2">
        <v>45180</v>
      </c>
      <c r="AI300" s="2">
        <v>45291</v>
      </c>
      <c r="AJ300" s="2">
        <v>45180</v>
      </c>
    </row>
    <row r="301" spans="1:36">
      <c r="A301" s="1" t="str">
        <f>"99856123B4"</f>
        <v>99856123B4</v>
      </c>
      <c r="B301" s="1" t="str">
        <f t="shared" si="4"/>
        <v>02406911202</v>
      </c>
      <c r="C301" s="1" t="s">
        <v>13</v>
      </c>
      <c r="D301" s="1" t="s">
        <v>167</v>
      </c>
      <c r="E301" s="1" t="s">
        <v>479</v>
      </c>
      <c r="F301" s="1" t="s">
        <v>39</v>
      </c>
      <c r="G301" s="1" t="str">
        <f>"00654080076"</f>
        <v>00654080076</v>
      </c>
      <c r="I301" s="1" t="s">
        <v>116</v>
      </c>
      <c r="L301" s="1" t="s">
        <v>43</v>
      </c>
      <c r="M301" s="1">
        <v>288570</v>
      </c>
      <c r="AG301" s="1">
        <v>0</v>
      </c>
      <c r="AH301" s="2">
        <v>45155</v>
      </c>
      <c r="AI301" s="2">
        <v>45520</v>
      </c>
      <c r="AJ301" s="2">
        <v>45155</v>
      </c>
    </row>
    <row r="302" spans="1:36">
      <c r="A302" s="1" t="str">
        <f>"Z6A3C41B93"</f>
        <v>Z6A3C41B93</v>
      </c>
      <c r="B302" s="1" t="str">
        <f t="shared" si="4"/>
        <v>02406911202</v>
      </c>
      <c r="C302" s="1" t="s">
        <v>13</v>
      </c>
      <c r="D302" s="1" t="s">
        <v>186</v>
      </c>
      <c r="E302" s="1" t="s">
        <v>480</v>
      </c>
      <c r="F302" s="1" t="s">
        <v>158</v>
      </c>
      <c r="G302" s="1" t="str">
        <f>"04742650585"</f>
        <v>04742650585</v>
      </c>
      <c r="I302" s="1" t="s">
        <v>481</v>
      </c>
      <c r="L302" s="1" t="s">
        <v>43</v>
      </c>
      <c r="M302" s="1">
        <v>29519.52</v>
      </c>
      <c r="AG302" s="1">
        <v>3866.4</v>
      </c>
      <c r="AH302" s="2">
        <v>45181</v>
      </c>
      <c r="AI302" s="2">
        <v>45900</v>
      </c>
      <c r="AJ302" s="2">
        <v>45181</v>
      </c>
    </row>
    <row r="303" spans="1:36">
      <c r="A303" s="1" t="str">
        <f>"ZF73BD2CB1"</f>
        <v>ZF73BD2CB1</v>
      </c>
      <c r="B303" s="1" t="str">
        <f t="shared" si="4"/>
        <v>02406911202</v>
      </c>
      <c r="C303" s="1" t="s">
        <v>13</v>
      </c>
      <c r="D303" s="1" t="s">
        <v>180</v>
      </c>
      <c r="E303" s="1" t="s">
        <v>296</v>
      </c>
      <c r="F303" s="1" t="s">
        <v>158</v>
      </c>
      <c r="G303" s="1" t="str">
        <f>"07093190960"</f>
        <v>07093190960</v>
      </c>
      <c r="I303" s="1" t="s">
        <v>482</v>
      </c>
      <c r="L303" s="1" t="s">
        <v>43</v>
      </c>
      <c r="M303" s="1">
        <v>6000</v>
      </c>
      <c r="AG303" s="1">
        <v>4680</v>
      </c>
      <c r="AH303" s="2">
        <v>45113</v>
      </c>
      <c r="AI303" s="2">
        <v>45291</v>
      </c>
      <c r="AJ303" s="2">
        <v>45113</v>
      </c>
    </row>
    <row r="304" spans="1:36">
      <c r="A304" s="1" t="str">
        <f>"Z4A3BDFFED"</f>
        <v>Z4A3BDFFED</v>
      </c>
      <c r="B304" s="1" t="str">
        <f t="shared" si="4"/>
        <v>02406911202</v>
      </c>
      <c r="C304" s="1" t="s">
        <v>13</v>
      </c>
      <c r="D304" s="1" t="s">
        <v>180</v>
      </c>
      <c r="E304" s="1" t="s">
        <v>220</v>
      </c>
      <c r="F304" s="1" t="s">
        <v>158</v>
      </c>
      <c r="G304" s="1" t="str">
        <f>"12693140159"</f>
        <v>12693140159</v>
      </c>
      <c r="I304" s="1" t="s">
        <v>310</v>
      </c>
      <c r="L304" s="1" t="s">
        <v>43</v>
      </c>
      <c r="M304" s="1">
        <v>5000</v>
      </c>
      <c r="AG304" s="1">
        <v>4100</v>
      </c>
      <c r="AH304" s="2">
        <v>45126</v>
      </c>
      <c r="AI304" s="2">
        <v>45291</v>
      </c>
      <c r="AJ304" s="2">
        <v>45126</v>
      </c>
    </row>
    <row r="305" spans="1:36">
      <c r="A305" s="1" t="str">
        <f>"Z1F3BF04E8"</f>
        <v>Z1F3BF04E8</v>
      </c>
      <c r="B305" s="1" t="str">
        <f t="shared" si="4"/>
        <v>02406911202</v>
      </c>
      <c r="C305" s="1" t="s">
        <v>13</v>
      </c>
      <c r="D305" s="1" t="s">
        <v>177</v>
      </c>
      <c r="E305" s="1" t="s">
        <v>483</v>
      </c>
      <c r="F305" s="1" t="s">
        <v>158</v>
      </c>
      <c r="G305" s="1" t="str">
        <f>"03772490375"</f>
        <v>03772490375</v>
      </c>
      <c r="I305" s="1" t="s">
        <v>243</v>
      </c>
      <c r="L305" s="1" t="s">
        <v>43</v>
      </c>
      <c r="M305" s="1">
        <v>1308000</v>
      </c>
      <c r="AG305" s="1">
        <v>259741</v>
      </c>
      <c r="AH305" s="2">
        <v>45108</v>
      </c>
      <c r="AI305" s="2">
        <v>45657</v>
      </c>
      <c r="AJ305" s="2">
        <v>45108</v>
      </c>
    </row>
    <row r="306" spans="1:36">
      <c r="A306" s="1" t="str">
        <f>"ZB63C0B0E4"</f>
        <v>ZB63C0B0E4</v>
      </c>
      <c r="B306" s="1" t="str">
        <f t="shared" si="4"/>
        <v>02406911202</v>
      </c>
      <c r="C306" s="1" t="s">
        <v>13</v>
      </c>
      <c r="D306" s="1" t="s">
        <v>180</v>
      </c>
      <c r="E306" s="1" t="s">
        <v>484</v>
      </c>
      <c r="F306" s="1" t="s">
        <v>158</v>
      </c>
      <c r="G306" s="1" t="str">
        <f>"00228550273"</f>
        <v>00228550273</v>
      </c>
      <c r="I306" s="1" t="s">
        <v>201</v>
      </c>
      <c r="L306" s="1" t="s">
        <v>43</v>
      </c>
      <c r="M306" s="1">
        <v>5000</v>
      </c>
      <c r="AG306" s="1">
        <v>4810</v>
      </c>
      <c r="AH306" s="2">
        <v>45134</v>
      </c>
      <c r="AI306" s="2">
        <v>45291</v>
      </c>
      <c r="AJ306" s="2">
        <v>45134</v>
      </c>
    </row>
    <row r="307" spans="1:36">
      <c r="A307" s="1" t="str">
        <f>"Z333C0B4CD"</f>
        <v>Z333C0B4CD</v>
      </c>
      <c r="B307" s="1" t="str">
        <f t="shared" si="4"/>
        <v>02406911202</v>
      </c>
      <c r="C307" s="1" t="s">
        <v>13</v>
      </c>
      <c r="D307" s="1" t="s">
        <v>186</v>
      </c>
      <c r="E307" s="1" t="s">
        <v>485</v>
      </c>
      <c r="F307" s="1" t="s">
        <v>158</v>
      </c>
      <c r="G307" s="1" t="str">
        <f>"06872000010"</f>
        <v>06872000010</v>
      </c>
      <c r="I307" s="1" t="s">
        <v>486</v>
      </c>
      <c r="L307" s="1" t="s">
        <v>43</v>
      </c>
      <c r="M307" s="1">
        <v>4999</v>
      </c>
      <c r="AG307" s="1">
        <v>825</v>
      </c>
      <c r="AH307" s="2">
        <v>45134</v>
      </c>
      <c r="AI307" s="2">
        <v>46022</v>
      </c>
      <c r="AJ307" s="2">
        <v>45134</v>
      </c>
    </row>
    <row r="308" spans="1:36">
      <c r="A308" s="1" t="str">
        <f>"99210537ED"</f>
        <v>99210537ED</v>
      </c>
      <c r="B308" s="1" t="str">
        <f t="shared" si="4"/>
        <v>02406911202</v>
      </c>
      <c r="C308" s="1" t="s">
        <v>13</v>
      </c>
      <c r="D308" s="1" t="s">
        <v>167</v>
      </c>
      <c r="E308" s="1" t="s">
        <v>487</v>
      </c>
      <c r="F308" s="1" t="s">
        <v>39</v>
      </c>
      <c r="G308" s="1" t="str">
        <f>"05042160969"</f>
        <v>05042160969</v>
      </c>
      <c r="I308" s="1" t="s">
        <v>488</v>
      </c>
      <c r="L308" s="1" t="s">
        <v>43</v>
      </c>
      <c r="M308" s="1">
        <v>300000</v>
      </c>
      <c r="AG308" s="1">
        <v>45698.93</v>
      </c>
      <c r="AH308" s="2">
        <v>45124</v>
      </c>
      <c r="AI308" s="2">
        <v>46219</v>
      </c>
      <c r="AJ308" s="2">
        <v>45124</v>
      </c>
    </row>
    <row r="309" spans="1:36">
      <c r="A309" s="1" t="str">
        <f>"ZB13C1DE82"</f>
        <v>ZB13C1DE82</v>
      </c>
      <c r="B309" s="1" t="str">
        <f t="shared" si="4"/>
        <v>02406911202</v>
      </c>
      <c r="C309" s="1" t="s">
        <v>13</v>
      </c>
      <c r="D309" s="1" t="s">
        <v>186</v>
      </c>
      <c r="E309" s="1" t="s">
        <v>489</v>
      </c>
      <c r="F309" s="1" t="s">
        <v>158</v>
      </c>
      <c r="G309" s="1" t="str">
        <f>"CLFCST81R25H143T"</f>
        <v>CLFCST81R25H143T</v>
      </c>
      <c r="I309" s="1" t="s">
        <v>490</v>
      </c>
      <c r="L309" s="1" t="s">
        <v>43</v>
      </c>
      <c r="M309" s="1">
        <v>250</v>
      </c>
      <c r="AG309" s="1">
        <v>100</v>
      </c>
      <c r="AH309" s="2">
        <v>45108</v>
      </c>
      <c r="AI309" s="2">
        <v>45291</v>
      </c>
      <c r="AJ309" s="2">
        <v>45108</v>
      </c>
    </row>
    <row r="310" spans="1:36">
      <c r="A310" s="1" t="str">
        <f>"Z1B3C1ECFC"</f>
        <v>Z1B3C1ECFC</v>
      </c>
      <c r="B310" s="1" t="str">
        <f t="shared" si="4"/>
        <v>02406911202</v>
      </c>
      <c r="C310" s="1" t="s">
        <v>13</v>
      </c>
      <c r="D310" s="1" t="s">
        <v>180</v>
      </c>
      <c r="E310" s="1" t="s">
        <v>491</v>
      </c>
      <c r="F310" s="1" t="s">
        <v>158</v>
      </c>
      <c r="G310" s="1" t="str">
        <f>"00514240142"</f>
        <v>00514240142</v>
      </c>
      <c r="I310" s="1" t="s">
        <v>492</v>
      </c>
      <c r="L310" s="1" t="s">
        <v>43</v>
      </c>
      <c r="M310" s="1">
        <v>6000</v>
      </c>
      <c r="AG310" s="1">
        <v>6944.7</v>
      </c>
      <c r="AH310" s="2">
        <v>45141</v>
      </c>
      <c r="AI310" s="2">
        <v>45291</v>
      </c>
      <c r="AJ310" s="2">
        <v>45141</v>
      </c>
    </row>
    <row r="311" spans="1:36">
      <c r="A311" s="1" t="str">
        <f>"A00DAA6008"</f>
        <v>A00DAA6008</v>
      </c>
      <c r="B311" s="1" t="str">
        <f t="shared" si="4"/>
        <v>02406911202</v>
      </c>
      <c r="C311" s="1" t="s">
        <v>13</v>
      </c>
      <c r="D311" s="1" t="s">
        <v>167</v>
      </c>
      <c r="E311" s="1" t="s">
        <v>493</v>
      </c>
      <c r="F311" s="1" t="s">
        <v>151</v>
      </c>
      <c r="G311" s="1" t="str">
        <f>"11264670156"</f>
        <v>11264670156</v>
      </c>
      <c r="I311" s="1" t="s">
        <v>66</v>
      </c>
      <c r="L311" s="1" t="s">
        <v>43</v>
      </c>
      <c r="M311" s="1">
        <v>433.31</v>
      </c>
      <c r="AG311" s="1">
        <v>0</v>
      </c>
      <c r="AH311" s="2">
        <v>45184</v>
      </c>
      <c r="AI311" s="2">
        <v>45382</v>
      </c>
      <c r="AJ311" s="2">
        <v>45184</v>
      </c>
    </row>
    <row r="312" spans="1:36">
      <c r="A312" s="1" t="str">
        <f>"A00DAC164E"</f>
        <v>A00DAC164E</v>
      </c>
      <c r="B312" s="1" t="str">
        <f t="shared" si="4"/>
        <v>02406911202</v>
      </c>
      <c r="C312" s="1" t="s">
        <v>13</v>
      </c>
      <c r="D312" s="1" t="s">
        <v>167</v>
      </c>
      <c r="E312" s="1" t="s">
        <v>493</v>
      </c>
      <c r="F312" s="1" t="s">
        <v>151</v>
      </c>
      <c r="G312" s="1" t="str">
        <f>"00803890151"</f>
        <v>00803890151</v>
      </c>
      <c r="I312" s="1" t="s">
        <v>104</v>
      </c>
      <c r="L312" s="1" t="s">
        <v>43</v>
      </c>
      <c r="M312" s="1">
        <v>19835.2</v>
      </c>
      <c r="AG312" s="1">
        <v>4958.8</v>
      </c>
      <c r="AH312" s="2">
        <v>45184</v>
      </c>
      <c r="AI312" s="2">
        <v>45382</v>
      </c>
      <c r="AJ312" s="2">
        <v>45184</v>
      </c>
    </row>
    <row r="313" spans="1:36">
      <c r="A313" s="1" t="str">
        <f>"A00DAD56CF"</f>
        <v>A00DAD56CF</v>
      </c>
      <c r="B313" s="1" t="str">
        <f t="shared" si="4"/>
        <v>02406911202</v>
      </c>
      <c r="C313" s="1" t="s">
        <v>13</v>
      </c>
      <c r="D313" s="1" t="s">
        <v>167</v>
      </c>
      <c r="E313" s="1" t="s">
        <v>493</v>
      </c>
      <c r="F313" s="1" t="s">
        <v>151</v>
      </c>
      <c r="G313" s="1" t="str">
        <f>"07123400157"</f>
        <v>07123400157</v>
      </c>
      <c r="I313" s="1" t="s">
        <v>120</v>
      </c>
      <c r="L313" s="1" t="s">
        <v>43</v>
      </c>
      <c r="M313" s="1">
        <v>1700</v>
      </c>
      <c r="AG313" s="1">
        <v>340</v>
      </c>
      <c r="AH313" s="2">
        <v>45184</v>
      </c>
      <c r="AI313" s="2">
        <v>45382</v>
      </c>
      <c r="AJ313" s="2">
        <v>45184</v>
      </c>
    </row>
    <row r="314" spans="1:36">
      <c r="A314" s="1" t="str">
        <f>"A00DAF1DE8"</f>
        <v>A00DAF1DE8</v>
      </c>
      <c r="B314" s="1" t="str">
        <f t="shared" si="4"/>
        <v>02406911202</v>
      </c>
      <c r="C314" s="1" t="s">
        <v>13</v>
      </c>
      <c r="D314" s="1" t="s">
        <v>167</v>
      </c>
      <c r="E314" s="1" t="s">
        <v>493</v>
      </c>
      <c r="F314" s="1" t="s">
        <v>151</v>
      </c>
      <c r="G314" s="1" t="str">
        <f>"01736720994"</f>
        <v>01736720994</v>
      </c>
      <c r="I314" s="1" t="s">
        <v>121</v>
      </c>
      <c r="L314" s="1" t="s">
        <v>43</v>
      </c>
      <c r="M314" s="1">
        <v>1400</v>
      </c>
      <c r="AG314" s="1">
        <v>0</v>
      </c>
      <c r="AH314" s="2">
        <v>45184</v>
      </c>
      <c r="AI314" s="2">
        <v>45382</v>
      </c>
      <c r="AJ314" s="2">
        <v>45184</v>
      </c>
    </row>
    <row r="315" spans="1:36">
      <c r="A315" s="1" t="str">
        <f>"A00DB16C71"</f>
        <v>A00DB16C71</v>
      </c>
      <c r="B315" s="1" t="str">
        <f t="shared" si="4"/>
        <v>02406911202</v>
      </c>
      <c r="C315" s="1" t="s">
        <v>13</v>
      </c>
      <c r="D315" s="1" t="s">
        <v>167</v>
      </c>
      <c r="E315" s="1" t="s">
        <v>493</v>
      </c>
      <c r="F315" s="1" t="s">
        <v>151</v>
      </c>
      <c r="G315" s="1" t="str">
        <f>"03992220966"</f>
        <v>03992220966</v>
      </c>
      <c r="I315" s="1" t="s">
        <v>122</v>
      </c>
      <c r="L315" s="1" t="s">
        <v>43</v>
      </c>
      <c r="M315" s="1">
        <v>9900</v>
      </c>
      <c r="AG315" s="1">
        <v>0</v>
      </c>
      <c r="AH315" s="2">
        <v>45184</v>
      </c>
      <c r="AI315" s="2">
        <v>45382</v>
      </c>
      <c r="AJ315" s="2">
        <v>45184</v>
      </c>
    </row>
    <row r="316" spans="1:36">
      <c r="A316" s="1" t="str">
        <f>"A00DB377AE"</f>
        <v>A00DB377AE</v>
      </c>
      <c r="B316" s="1" t="str">
        <f t="shared" si="4"/>
        <v>02406911202</v>
      </c>
      <c r="C316" s="1" t="s">
        <v>13</v>
      </c>
      <c r="D316" s="1" t="s">
        <v>167</v>
      </c>
      <c r="E316" s="1" t="s">
        <v>493</v>
      </c>
      <c r="F316" s="1" t="s">
        <v>151</v>
      </c>
      <c r="G316" s="1" t="str">
        <f>"09238800156"</f>
        <v>09238800156</v>
      </c>
      <c r="I316" s="1" t="s">
        <v>92</v>
      </c>
      <c r="L316" s="1" t="s">
        <v>43</v>
      </c>
      <c r="M316" s="1">
        <v>9730</v>
      </c>
      <c r="AG316" s="1">
        <v>1525</v>
      </c>
      <c r="AH316" s="2">
        <v>45184</v>
      </c>
      <c r="AI316" s="2">
        <v>45382</v>
      </c>
      <c r="AJ316" s="2">
        <v>45184</v>
      </c>
    </row>
    <row r="317" spans="1:36">
      <c r="A317" s="1" t="str">
        <f>"A00DB52DF4"</f>
        <v>A00DB52DF4</v>
      </c>
      <c r="B317" s="1" t="str">
        <f t="shared" si="4"/>
        <v>02406911202</v>
      </c>
      <c r="C317" s="1" t="s">
        <v>13</v>
      </c>
      <c r="D317" s="1" t="s">
        <v>167</v>
      </c>
      <c r="E317" s="1" t="s">
        <v>493</v>
      </c>
      <c r="F317" s="1" t="s">
        <v>151</v>
      </c>
      <c r="G317" s="1" t="str">
        <f>"01681100150"</f>
        <v>01681100150</v>
      </c>
      <c r="I317" s="1" t="s">
        <v>494</v>
      </c>
      <c r="L317" s="1" t="s">
        <v>43</v>
      </c>
      <c r="M317" s="1">
        <v>2830</v>
      </c>
      <c r="AG317" s="1">
        <v>1195</v>
      </c>
      <c r="AH317" s="2">
        <v>45184</v>
      </c>
      <c r="AI317" s="2">
        <v>45382</v>
      </c>
      <c r="AJ317" s="2">
        <v>45184</v>
      </c>
    </row>
    <row r="318" spans="1:36">
      <c r="A318" s="1" t="str">
        <f>"9965323CAE"</f>
        <v>9965323CAE</v>
      </c>
      <c r="B318" s="1" t="str">
        <f t="shared" si="4"/>
        <v>02406911202</v>
      </c>
      <c r="C318" s="1" t="s">
        <v>13</v>
      </c>
      <c r="D318" s="1" t="s">
        <v>167</v>
      </c>
      <c r="E318" s="1" t="s">
        <v>495</v>
      </c>
      <c r="F318" s="1" t="s">
        <v>286</v>
      </c>
      <c r="G318" s="1" t="str">
        <f>"01896541206"</f>
        <v>01896541206</v>
      </c>
      <c r="I318" s="1" t="s">
        <v>366</v>
      </c>
      <c r="L318" s="1" t="s">
        <v>43</v>
      </c>
      <c r="M318" s="1">
        <v>717500</v>
      </c>
      <c r="AG318" s="1">
        <v>0</v>
      </c>
      <c r="AH318" s="2">
        <v>45181</v>
      </c>
      <c r="AI318" s="2">
        <v>45547</v>
      </c>
      <c r="AJ318" s="2">
        <v>45181</v>
      </c>
    </row>
    <row r="319" spans="1:36">
      <c r="A319" s="1" t="str">
        <f>"ZF33C73667"</f>
        <v>ZF33C73667</v>
      </c>
      <c r="B319" s="1" t="str">
        <f t="shared" si="4"/>
        <v>02406911202</v>
      </c>
      <c r="C319" s="1" t="s">
        <v>13</v>
      </c>
      <c r="D319" s="1" t="s">
        <v>180</v>
      </c>
      <c r="E319" s="1" t="s">
        <v>244</v>
      </c>
      <c r="F319" s="1" t="s">
        <v>158</v>
      </c>
      <c r="G319" s="1" t="str">
        <f>"12140440012"</f>
        <v>12140440012</v>
      </c>
      <c r="I319" s="1" t="s">
        <v>496</v>
      </c>
      <c r="L319" s="1" t="s">
        <v>43</v>
      </c>
      <c r="M319" s="1">
        <v>5000</v>
      </c>
      <c r="AG319" s="1">
        <v>1990</v>
      </c>
      <c r="AH319" s="2">
        <v>45183</v>
      </c>
      <c r="AI319" s="2">
        <v>45291</v>
      </c>
      <c r="AJ319" s="2">
        <v>45183</v>
      </c>
    </row>
    <row r="320" spans="1:36">
      <c r="A320" s="1" t="str">
        <f>"Z463C78F14"</f>
        <v>Z463C78F14</v>
      </c>
      <c r="B320" s="1" t="str">
        <f t="shared" si="4"/>
        <v>02406911202</v>
      </c>
      <c r="C320" s="1" t="s">
        <v>13</v>
      </c>
      <c r="D320" s="1" t="s">
        <v>186</v>
      </c>
      <c r="E320" s="1" t="s">
        <v>497</v>
      </c>
      <c r="F320" s="1" t="s">
        <v>158</v>
      </c>
      <c r="G320" s="1" t="str">
        <f>"01309350062"</f>
        <v>01309350062</v>
      </c>
      <c r="I320" s="1" t="s">
        <v>498</v>
      </c>
      <c r="L320" s="1" t="s">
        <v>43</v>
      </c>
      <c r="M320" s="1">
        <v>4990</v>
      </c>
      <c r="AG320" s="1">
        <v>224.56</v>
      </c>
      <c r="AH320" s="2">
        <v>45184</v>
      </c>
      <c r="AI320" s="2">
        <v>45657</v>
      </c>
      <c r="AJ320" s="2">
        <v>45184</v>
      </c>
    </row>
    <row r="321" spans="1:36">
      <c r="A321" s="1" t="str">
        <f>"ZF03BE0187"</f>
        <v>ZF03BE0187</v>
      </c>
      <c r="B321" s="1" t="str">
        <f t="shared" si="4"/>
        <v>02406911202</v>
      </c>
      <c r="C321" s="1" t="s">
        <v>13</v>
      </c>
      <c r="D321" s="1" t="s">
        <v>180</v>
      </c>
      <c r="E321" s="1" t="s">
        <v>181</v>
      </c>
      <c r="F321" s="1" t="s">
        <v>158</v>
      </c>
      <c r="G321" s="1" t="str">
        <f>"08023050969"</f>
        <v>08023050969</v>
      </c>
      <c r="I321" s="1" t="s">
        <v>499</v>
      </c>
      <c r="L321" s="1" t="s">
        <v>43</v>
      </c>
      <c r="M321" s="1">
        <v>5000</v>
      </c>
      <c r="AG321" s="1">
        <v>4234.0200000000004</v>
      </c>
      <c r="AH321" s="2">
        <v>45121</v>
      </c>
      <c r="AI321" s="2">
        <v>45291</v>
      </c>
      <c r="AJ321" s="2">
        <v>45121</v>
      </c>
    </row>
    <row r="322" spans="1:36">
      <c r="A322" s="1" t="str">
        <f>"Z5C3BF8810"</f>
        <v>Z5C3BF8810</v>
      </c>
      <c r="B322" s="1" t="str">
        <f t="shared" ref="B322:B385" si="5">"02406911202"</f>
        <v>02406911202</v>
      </c>
      <c r="C322" s="1" t="s">
        <v>13</v>
      </c>
      <c r="D322" s="1" t="s">
        <v>180</v>
      </c>
      <c r="E322" s="1" t="s">
        <v>181</v>
      </c>
      <c r="F322" s="1" t="s">
        <v>158</v>
      </c>
      <c r="G322" s="1" t="str">
        <f>"11654150157"</f>
        <v>11654150157</v>
      </c>
      <c r="I322" s="1" t="s">
        <v>263</v>
      </c>
      <c r="L322" s="1" t="s">
        <v>43</v>
      </c>
      <c r="M322" s="1">
        <v>5000</v>
      </c>
      <c r="AG322" s="1">
        <v>4332.8</v>
      </c>
      <c r="AH322" s="2">
        <v>45132</v>
      </c>
      <c r="AI322" s="2">
        <v>45291</v>
      </c>
      <c r="AJ322" s="2">
        <v>45132</v>
      </c>
    </row>
    <row r="323" spans="1:36">
      <c r="A323" s="1" t="str">
        <f>"Z083BF6D80"</f>
        <v>Z083BF6D80</v>
      </c>
      <c r="B323" s="1" t="str">
        <f t="shared" si="5"/>
        <v>02406911202</v>
      </c>
      <c r="C323" s="1" t="s">
        <v>13</v>
      </c>
      <c r="D323" s="1" t="s">
        <v>180</v>
      </c>
      <c r="E323" s="1" t="s">
        <v>220</v>
      </c>
      <c r="F323" s="1" t="s">
        <v>158</v>
      </c>
      <c r="G323" s="1" t="str">
        <f>"17784350966"</f>
        <v>17784350966</v>
      </c>
      <c r="I323" s="1" t="s">
        <v>500</v>
      </c>
      <c r="L323" s="1" t="s">
        <v>43</v>
      </c>
      <c r="M323" s="1">
        <v>5000</v>
      </c>
      <c r="AG323" s="1">
        <v>0</v>
      </c>
      <c r="AH323" s="2">
        <v>45132</v>
      </c>
      <c r="AI323" s="2">
        <v>45291</v>
      </c>
      <c r="AJ323" s="2">
        <v>45132</v>
      </c>
    </row>
    <row r="324" spans="1:36">
      <c r="A324" s="1" t="str">
        <f>"Z223C0D675"</f>
        <v>Z223C0D675</v>
      </c>
      <c r="B324" s="1" t="str">
        <f t="shared" si="5"/>
        <v>02406911202</v>
      </c>
      <c r="C324" s="1" t="s">
        <v>13</v>
      </c>
      <c r="D324" s="1" t="s">
        <v>186</v>
      </c>
      <c r="E324" s="1" t="s">
        <v>501</v>
      </c>
      <c r="F324" s="1" t="s">
        <v>158</v>
      </c>
      <c r="G324" s="1" t="str">
        <f>"02466440167"</f>
        <v>02466440167</v>
      </c>
      <c r="I324" s="1" t="s">
        <v>502</v>
      </c>
      <c r="L324" s="1" t="s">
        <v>43</v>
      </c>
      <c r="M324" s="1">
        <v>4999</v>
      </c>
      <c r="AG324" s="1">
        <v>2068</v>
      </c>
      <c r="AH324" s="2">
        <v>45135</v>
      </c>
      <c r="AI324" s="2">
        <v>46022</v>
      </c>
      <c r="AJ324" s="2">
        <v>45135</v>
      </c>
    </row>
    <row r="325" spans="1:36">
      <c r="A325" s="1" t="str">
        <f>"ZC83C0D90A"</f>
        <v>ZC83C0D90A</v>
      </c>
      <c r="B325" s="1" t="str">
        <f t="shared" si="5"/>
        <v>02406911202</v>
      </c>
      <c r="C325" s="1" t="s">
        <v>13</v>
      </c>
      <c r="D325" s="1" t="s">
        <v>186</v>
      </c>
      <c r="E325" s="1" t="s">
        <v>503</v>
      </c>
      <c r="F325" s="1" t="s">
        <v>158</v>
      </c>
      <c r="G325" s="1" t="str">
        <f>"01228210371"</f>
        <v>01228210371</v>
      </c>
      <c r="I325" s="1" t="s">
        <v>504</v>
      </c>
      <c r="L325" s="1" t="s">
        <v>43</v>
      </c>
      <c r="M325" s="1">
        <v>4999</v>
      </c>
      <c r="AG325" s="1">
        <v>4938.84</v>
      </c>
      <c r="AH325" s="2">
        <v>45135</v>
      </c>
      <c r="AI325" s="2">
        <v>46022</v>
      </c>
      <c r="AJ325" s="2">
        <v>45135</v>
      </c>
    </row>
    <row r="326" spans="1:36">
      <c r="A326" s="1" t="str">
        <f>"Z363C16422"</f>
        <v>Z363C16422</v>
      </c>
      <c r="B326" s="1" t="str">
        <f t="shared" si="5"/>
        <v>02406911202</v>
      </c>
      <c r="C326" s="1" t="s">
        <v>13</v>
      </c>
      <c r="D326" s="1" t="s">
        <v>177</v>
      </c>
      <c r="E326" s="1" t="s">
        <v>505</v>
      </c>
      <c r="F326" s="1" t="s">
        <v>158</v>
      </c>
      <c r="G326" s="1" t="str">
        <f>"01098680372"</f>
        <v>01098680372</v>
      </c>
      <c r="I326" s="1" t="s">
        <v>506</v>
      </c>
      <c r="L326" s="1" t="s">
        <v>43</v>
      </c>
      <c r="M326" s="1">
        <v>33000</v>
      </c>
      <c r="AG326" s="1">
        <v>4491</v>
      </c>
      <c r="AH326" s="2">
        <v>45108</v>
      </c>
      <c r="AI326" s="2">
        <v>45657</v>
      </c>
      <c r="AJ326" s="2">
        <v>45108</v>
      </c>
    </row>
    <row r="327" spans="1:36">
      <c r="A327" s="1" t="str">
        <f>"Z223BD4A8B"</f>
        <v>Z223BD4A8B</v>
      </c>
      <c r="B327" s="1" t="str">
        <f t="shared" si="5"/>
        <v>02406911202</v>
      </c>
      <c r="C327" s="1" t="s">
        <v>13</v>
      </c>
      <c r="D327" s="1" t="s">
        <v>180</v>
      </c>
      <c r="E327" s="1" t="s">
        <v>507</v>
      </c>
      <c r="F327" s="1" t="s">
        <v>158</v>
      </c>
      <c r="G327" s="1" t="str">
        <f>"09933630155"</f>
        <v>09933630155</v>
      </c>
      <c r="I327" s="1" t="s">
        <v>508</v>
      </c>
      <c r="L327" s="1" t="s">
        <v>43</v>
      </c>
      <c r="M327" s="1">
        <v>5000</v>
      </c>
      <c r="AG327" s="1">
        <v>4653.5</v>
      </c>
      <c r="AH327" s="2">
        <v>45114</v>
      </c>
      <c r="AI327" s="2">
        <v>45291</v>
      </c>
      <c r="AJ327" s="2">
        <v>45114</v>
      </c>
    </row>
    <row r="328" spans="1:36">
      <c r="A328" s="1" t="str">
        <f>"Z2F3BD4B1B"</f>
        <v>Z2F3BD4B1B</v>
      </c>
      <c r="B328" s="1" t="str">
        <f t="shared" si="5"/>
        <v>02406911202</v>
      </c>
      <c r="C328" s="1" t="s">
        <v>13</v>
      </c>
      <c r="D328" s="1" t="s">
        <v>180</v>
      </c>
      <c r="E328" s="1" t="s">
        <v>279</v>
      </c>
      <c r="F328" s="1" t="s">
        <v>158</v>
      </c>
      <c r="H328" s="1" t="str">
        <f>"129314192"</f>
        <v>129314192</v>
      </c>
      <c r="I328" s="1" t="s">
        <v>509</v>
      </c>
      <c r="L328" s="1" t="s">
        <v>43</v>
      </c>
      <c r="M328" s="1">
        <v>5000</v>
      </c>
      <c r="AG328" s="1">
        <v>5190.3</v>
      </c>
      <c r="AH328" s="2">
        <v>45114</v>
      </c>
      <c r="AI328" s="2">
        <v>45291</v>
      </c>
      <c r="AJ328" s="2">
        <v>45114</v>
      </c>
    </row>
    <row r="329" spans="1:36">
      <c r="A329" s="1" t="str">
        <f>"9951322AB1"</f>
        <v>9951322AB1</v>
      </c>
      <c r="B329" s="1" t="str">
        <f t="shared" si="5"/>
        <v>02406911202</v>
      </c>
      <c r="C329" s="1" t="s">
        <v>13</v>
      </c>
      <c r="D329" s="1" t="s">
        <v>167</v>
      </c>
      <c r="E329" s="1" t="s">
        <v>510</v>
      </c>
      <c r="F329" s="1" t="s">
        <v>151</v>
      </c>
      <c r="G329" s="1" t="str">
        <f>"03002830366"</f>
        <v>03002830366</v>
      </c>
      <c r="I329" s="1" t="s">
        <v>511</v>
      </c>
      <c r="L329" s="1" t="s">
        <v>43</v>
      </c>
      <c r="M329" s="1">
        <v>145233</v>
      </c>
      <c r="AG329" s="1">
        <v>5346</v>
      </c>
      <c r="AH329" s="2">
        <v>45119</v>
      </c>
      <c r="AI329" s="2">
        <v>45291</v>
      </c>
      <c r="AJ329" s="2">
        <v>45119</v>
      </c>
    </row>
    <row r="330" spans="1:36">
      <c r="A330" s="1" t="str">
        <f>"9951653BD7"</f>
        <v>9951653BD7</v>
      </c>
      <c r="B330" s="1" t="str">
        <f t="shared" si="5"/>
        <v>02406911202</v>
      </c>
      <c r="C330" s="1" t="s">
        <v>13</v>
      </c>
      <c r="D330" s="1" t="s">
        <v>167</v>
      </c>
      <c r="E330" s="1" t="s">
        <v>512</v>
      </c>
      <c r="F330" s="1" t="s">
        <v>151</v>
      </c>
      <c r="G330" s="1" t="str">
        <f>"05994810488"</f>
        <v>05994810488</v>
      </c>
      <c r="I330" s="1" t="s">
        <v>513</v>
      </c>
      <c r="L330" s="1" t="s">
        <v>43</v>
      </c>
      <c r="M330" s="1">
        <v>153100</v>
      </c>
      <c r="AG330" s="1">
        <v>0</v>
      </c>
      <c r="AH330" s="2">
        <v>45121</v>
      </c>
      <c r="AI330" s="2">
        <v>45291</v>
      </c>
      <c r="AJ330" s="2">
        <v>45121</v>
      </c>
    </row>
    <row r="331" spans="1:36">
      <c r="A331" s="1" t="str">
        <f>"Z383BFE840"</f>
        <v>Z383BFE840</v>
      </c>
      <c r="B331" s="1" t="str">
        <f t="shared" si="5"/>
        <v>02406911202</v>
      </c>
      <c r="C331" s="1" t="s">
        <v>13</v>
      </c>
      <c r="D331" s="1" t="s">
        <v>180</v>
      </c>
      <c r="E331" s="1" t="s">
        <v>181</v>
      </c>
      <c r="F331" s="1" t="s">
        <v>158</v>
      </c>
      <c r="H331" s="1" t="str">
        <f>"152434145"</f>
        <v>152434145</v>
      </c>
      <c r="I331" s="1" t="s">
        <v>514</v>
      </c>
      <c r="L331" s="1" t="s">
        <v>43</v>
      </c>
      <c r="M331" s="1">
        <v>6000</v>
      </c>
      <c r="AG331" s="1">
        <v>1315.6</v>
      </c>
      <c r="AH331" s="2">
        <v>45131</v>
      </c>
      <c r="AI331" s="2">
        <v>45291</v>
      </c>
      <c r="AJ331" s="2">
        <v>45131</v>
      </c>
    </row>
    <row r="332" spans="1:36">
      <c r="A332" s="1" t="str">
        <f>"Z803BEA76F"</f>
        <v>Z803BEA76F</v>
      </c>
      <c r="B332" s="1" t="str">
        <f t="shared" si="5"/>
        <v>02406911202</v>
      </c>
      <c r="C332" s="1" t="s">
        <v>13</v>
      </c>
      <c r="D332" s="1" t="s">
        <v>177</v>
      </c>
      <c r="E332" s="1" t="s">
        <v>515</v>
      </c>
      <c r="F332" s="1" t="s">
        <v>158</v>
      </c>
      <c r="G332" s="1" t="str">
        <f>"04201270370"</f>
        <v>04201270370</v>
      </c>
      <c r="I332" s="1" t="s">
        <v>516</v>
      </c>
      <c r="L332" s="1" t="s">
        <v>43</v>
      </c>
      <c r="M332" s="1">
        <v>108750</v>
      </c>
      <c r="AG332" s="1">
        <v>19853.79</v>
      </c>
      <c r="AH332" s="2">
        <v>45108</v>
      </c>
      <c r="AI332" s="2">
        <v>45657</v>
      </c>
      <c r="AJ332" s="2">
        <v>45108</v>
      </c>
    </row>
    <row r="333" spans="1:36">
      <c r="A333" s="1" t="str">
        <f>"Z5D3BEA5D8"</f>
        <v>Z5D3BEA5D8</v>
      </c>
      <c r="B333" s="1" t="str">
        <f t="shared" si="5"/>
        <v>02406911202</v>
      </c>
      <c r="C333" s="1" t="s">
        <v>13</v>
      </c>
      <c r="D333" s="1" t="s">
        <v>177</v>
      </c>
      <c r="E333" s="1" t="s">
        <v>517</v>
      </c>
      <c r="F333" s="1" t="s">
        <v>158</v>
      </c>
      <c r="G333" s="1" t="str">
        <f>"03337111201"</f>
        <v>03337111201</v>
      </c>
      <c r="I333" s="1" t="s">
        <v>518</v>
      </c>
      <c r="L333" s="1" t="s">
        <v>43</v>
      </c>
      <c r="M333" s="1">
        <v>267000</v>
      </c>
      <c r="AG333" s="1">
        <v>35127.74</v>
      </c>
      <c r="AH333" s="2">
        <v>45108</v>
      </c>
      <c r="AI333" s="2">
        <v>45657</v>
      </c>
      <c r="AJ333" s="2">
        <v>45108</v>
      </c>
    </row>
    <row r="334" spans="1:36">
      <c r="A334" s="1" t="str">
        <f>"Z4E3BEA7AF"</f>
        <v>Z4E3BEA7AF</v>
      </c>
      <c r="B334" s="1" t="str">
        <f t="shared" si="5"/>
        <v>02406911202</v>
      </c>
      <c r="C334" s="1" t="s">
        <v>13</v>
      </c>
      <c r="D334" s="1" t="s">
        <v>177</v>
      </c>
      <c r="E334" s="1" t="s">
        <v>519</v>
      </c>
      <c r="F334" s="1" t="s">
        <v>158</v>
      </c>
      <c r="G334" s="1" t="str">
        <f>"03772490375"</f>
        <v>03772490375</v>
      </c>
      <c r="I334" s="1" t="s">
        <v>243</v>
      </c>
      <c r="L334" s="1" t="s">
        <v>43</v>
      </c>
      <c r="M334" s="1">
        <v>139500</v>
      </c>
      <c r="AG334" s="1">
        <v>31099.69</v>
      </c>
      <c r="AH334" s="2">
        <v>45108</v>
      </c>
      <c r="AI334" s="2">
        <v>45657</v>
      </c>
      <c r="AJ334" s="2">
        <v>45108</v>
      </c>
    </row>
    <row r="335" spans="1:36">
      <c r="A335" s="1" t="str">
        <f>"ZF23C1ED16"</f>
        <v>ZF23C1ED16</v>
      </c>
      <c r="B335" s="1" t="str">
        <f t="shared" si="5"/>
        <v>02406911202</v>
      </c>
      <c r="C335" s="1" t="s">
        <v>13</v>
      </c>
      <c r="D335" s="1" t="s">
        <v>180</v>
      </c>
      <c r="E335" s="1" t="s">
        <v>520</v>
      </c>
      <c r="F335" s="1" t="s">
        <v>158</v>
      </c>
      <c r="G335" s="1" t="str">
        <f>"11575580151"</f>
        <v>11575580151</v>
      </c>
      <c r="I335" s="1" t="s">
        <v>127</v>
      </c>
      <c r="L335" s="1" t="s">
        <v>43</v>
      </c>
      <c r="M335" s="1">
        <v>5000</v>
      </c>
      <c r="AG335" s="1">
        <v>2700</v>
      </c>
      <c r="AH335" s="2">
        <v>45141</v>
      </c>
      <c r="AI335" s="2">
        <v>45291</v>
      </c>
      <c r="AJ335" s="2">
        <v>45141</v>
      </c>
    </row>
    <row r="336" spans="1:36">
      <c r="A336" s="1" t="str">
        <f>"Z093C08148"</f>
        <v>Z093C08148</v>
      </c>
      <c r="B336" s="1" t="str">
        <f t="shared" si="5"/>
        <v>02406911202</v>
      </c>
      <c r="C336" s="1" t="s">
        <v>13</v>
      </c>
      <c r="D336" s="1" t="s">
        <v>186</v>
      </c>
      <c r="E336" s="1" t="s">
        <v>521</v>
      </c>
      <c r="F336" s="1" t="s">
        <v>158</v>
      </c>
      <c r="G336" s="1" t="str">
        <f>"01772220065"</f>
        <v>01772220065</v>
      </c>
      <c r="I336" s="1" t="s">
        <v>522</v>
      </c>
      <c r="L336" s="1" t="s">
        <v>43</v>
      </c>
      <c r="M336" s="1">
        <v>34170</v>
      </c>
      <c r="AG336" s="1">
        <v>2016</v>
      </c>
      <c r="AH336" s="2">
        <v>45141</v>
      </c>
      <c r="AI336" s="2">
        <v>45169</v>
      </c>
      <c r="AJ336" s="2">
        <v>45141</v>
      </c>
    </row>
    <row r="337" spans="1:36">
      <c r="A337" s="1" t="str">
        <f>"Z0D3C2465B"</f>
        <v>Z0D3C2465B</v>
      </c>
      <c r="B337" s="1" t="str">
        <f t="shared" si="5"/>
        <v>02406911202</v>
      </c>
      <c r="C337" s="1" t="s">
        <v>13</v>
      </c>
      <c r="D337" s="1" t="s">
        <v>164</v>
      </c>
      <c r="E337" s="1" t="s">
        <v>523</v>
      </c>
      <c r="F337" s="1" t="s">
        <v>158</v>
      </c>
      <c r="H337" s="1" t="str">
        <f>"288921881"</f>
        <v>288921881</v>
      </c>
      <c r="I337" s="1" t="s">
        <v>524</v>
      </c>
      <c r="L337" s="1" t="s">
        <v>43</v>
      </c>
      <c r="M337" s="1">
        <v>1632</v>
      </c>
      <c r="AG337" s="1">
        <v>816</v>
      </c>
      <c r="AH337" s="2">
        <v>45145</v>
      </c>
      <c r="AI337" s="2">
        <v>45875</v>
      </c>
      <c r="AJ337" s="2">
        <v>45145</v>
      </c>
    </row>
    <row r="338" spans="1:36">
      <c r="A338" s="1" t="str">
        <f>"Z2E3C24A59"</f>
        <v>Z2E3C24A59</v>
      </c>
      <c r="B338" s="1" t="str">
        <f t="shared" si="5"/>
        <v>02406911202</v>
      </c>
      <c r="C338" s="1" t="s">
        <v>13</v>
      </c>
      <c r="D338" s="1" t="s">
        <v>180</v>
      </c>
      <c r="E338" s="1" t="s">
        <v>296</v>
      </c>
      <c r="F338" s="1" t="s">
        <v>158</v>
      </c>
      <c r="G338" s="1" t="str">
        <f>"02812360101"</f>
        <v>02812360101</v>
      </c>
      <c r="I338" s="1" t="s">
        <v>525</v>
      </c>
      <c r="L338" s="1" t="s">
        <v>43</v>
      </c>
      <c r="M338" s="1">
        <v>5000</v>
      </c>
      <c r="AG338" s="1">
        <v>3000</v>
      </c>
      <c r="AH338" s="2">
        <v>45145</v>
      </c>
      <c r="AI338" s="2">
        <v>45291</v>
      </c>
      <c r="AJ338" s="2">
        <v>45145</v>
      </c>
    </row>
    <row r="339" spans="1:36">
      <c r="A339" s="1" t="str">
        <f>"A0046CDE08"</f>
        <v>A0046CDE08</v>
      </c>
      <c r="B339" s="1" t="str">
        <f t="shared" si="5"/>
        <v>02406911202</v>
      </c>
      <c r="C339" s="1" t="s">
        <v>13</v>
      </c>
      <c r="D339" s="1" t="s">
        <v>167</v>
      </c>
      <c r="E339" s="1" t="s">
        <v>526</v>
      </c>
      <c r="F339" s="1" t="s">
        <v>151</v>
      </c>
      <c r="G339" s="1" t="str">
        <f>"00674840152"</f>
        <v>00674840152</v>
      </c>
      <c r="I339" s="1" t="s">
        <v>87</v>
      </c>
      <c r="L339" s="1" t="s">
        <v>43</v>
      </c>
      <c r="M339" s="1">
        <v>32560</v>
      </c>
      <c r="AG339" s="1">
        <v>4179.42</v>
      </c>
      <c r="AH339" s="2">
        <v>45154</v>
      </c>
      <c r="AI339" s="2">
        <v>45519</v>
      </c>
      <c r="AJ339" s="2">
        <v>45154</v>
      </c>
    </row>
    <row r="340" spans="1:36">
      <c r="A340" s="1" t="str">
        <f>"A00DD35C8A"</f>
        <v>A00DD35C8A</v>
      </c>
      <c r="B340" s="1" t="str">
        <f t="shared" si="5"/>
        <v>02406911202</v>
      </c>
      <c r="C340" s="1" t="s">
        <v>13</v>
      </c>
      <c r="D340" s="1" t="s">
        <v>167</v>
      </c>
      <c r="E340" s="1" t="s">
        <v>527</v>
      </c>
      <c r="F340" s="1" t="s">
        <v>151</v>
      </c>
      <c r="G340" s="1" t="str">
        <f>"00794290676"</f>
        <v>00794290676</v>
      </c>
      <c r="I340" s="1" t="s">
        <v>133</v>
      </c>
      <c r="L340" s="1" t="s">
        <v>43</v>
      </c>
      <c r="M340" s="1">
        <v>89310</v>
      </c>
      <c r="AG340" s="1">
        <v>443.6</v>
      </c>
      <c r="AH340" s="2">
        <v>45184</v>
      </c>
      <c r="AI340" s="2">
        <v>45365</v>
      </c>
      <c r="AJ340" s="2">
        <v>45184</v>
      </c>
    </row>
    <row r="341" spans="1:36">
      <c r="A341" s="1" t="str">
        <f>"ZF53C7FEF5"</f>
        <v>ZF53C7FEF5</v>
      </c>
      <c r="B341" s="1" t="str">
        <f t="shared" si="5"/>
        <v>02406911202</v>
      </c>
      <c r="C341" s="1" t="s">
        <v>13</v>
      </c>
      <c r="D341" s="1" t="s">
        <v>264</v>
      </c>
      <c r="E341" s="1" t="s">
        <v>528</v>
      </c>
      <c r="F341" s="1" t="s">
        <v>158</v>
      </c>
      <c r="H341" s="1" t="str">
        <f>"6750525135"</f>
        <v>6750525135</v>
      </c>
      <c r="I341" s="1" t="s">
        <v>529</v>
      </c>
      <c r="L341" s="1" t="s">
        <v>43</v>
      </c>
      <c r="M341" s="1">
        <v>17700</v>
      </c>
      <c r="AG341" s="1">
        <v>0</v>
      </c>
      <c r="AH341" s="2">
        <v>45188</v>
      </c>
      <c r="AI341" s="2">
        <v>45195</v>
      </c>
      <c r="AJ341" s="2">
        <v>45188</v>
      </c>
    </row>
    <row r="342" spans="1:36">
      <c r="A342" s="1" t="str">
        <f>"Z843BF2FD1"</f>
        <v>Z843BF2FD1</v>
      </c>
      <c r="B342" s="1" t="str">
        <f t="shared" si="5"/>
        <v>02406911202</v>
      </c>
      <c r="C342" s="1" t="s">
        <v>13</v>
      </c>
      <c r="D342" s="1" t="s">
        <v>186</v>
      </c>
      <c r="E342" s="1" t="s">
        <v>530</v>
      </c>
      <c r="F342" s="1" t="s">
        <v>158</v>
      </c>
      <c r="G342" s="1" t="str">
        <f>"01835220482"</f>
        <v>01835220482</v>
      </c>
      <c r="I342" s="1" t="s">
        <v>531</v>
      </c>
      <c r="L342" s="1" t="s">
        <v>43</v>
      </c>
      <c r="M342" s="1">
        <v>4999</v>
      </c>
      <c r="AG342" s="1">
        <v>0</v>
      </c>
      <c r="AH342" s="2">
        <v>45126</v>
      </c>
      <c r="AI342" s="2">
        <v>46022</v>
      </c>
      <c r="AJ342" s="2">
        <v>45126</v>
      </c>
    </row>
    <row r="343" spans="1:36">
      <c r="A343" s="1" t="str">
        <f>"99526778E0"</f>
        <v>99526778E0</v>
      </c>
      <c r="B343" s="1" t="str">
        <f t="shared" si="5"/>
        <v>02406911202</v>
      </c>
      <c r="C343" s="1" t="s">
        <v>13</v>
      </c>
      <c r="D343" s="1" t="s">
        <v>180</v>
      </c>
      <c r="E343" s="1" t="s">
        <v>220</v>
      </c>
      <c r="F343" s="1" t="s">
        <v>158</v>
      </c>
      <c r="G343" s="1" t="str">
        <f>"03597020373"</f>
        <v>03597020373</v>
      </c>
      <c r="I343" s="1" t="s">
        <v>254</v>
      </c>
      <c r="L343" s="1" t="s">
        <v>43</v>
      </c>
      <c r="M343" s="1">
        <v>39312</v>
      </c>
      <c r="AG343" s="1">
        <v>46464</v>
      </c>
      <c r="AH343" s="2">
        <v>45126</v>
      </c>
      <c r="AI343" s="2">
        <v>45492</v>
      </c>
      <c r="AJ343" s="2">
        <v>45126</v>
      </c>
    </row>
    <row r="344" spans="1:36">
      <c r="A344" s="1" t="str">
        <f>"Z3E3C00261"</f>
        <v>Z3E3C00261</v>
      </c>
      <c r="B344" s="1" t="str">
        <f t="shared" si="5"/>
        <v>02406911202</v>
      </c>
      <c r="C344" s="1" t="s">
        <v>13</v>
      </c>
      <c r="D344" s="1" t="s">
        <v>180</v>
      </c>
      <c r="E344" s="1" t="s">
        <v>185</v>
      </c>
      <c r="F344" s="1" t="s">
        <v>158</v>
      </c>
      <c r="G344" s="1" t="str">
        <f>"00803890151"</f>
        <v>00803890151</v>
      </c>
      <c r="I344" s="1" t="s">
        <v>104</v>
      </c>
      <c r="L344" s="1" t="s">
        <v>43</v>
      </c>
      <c r="M344" s="1">
        <v>5000</v>
      </c>
      <c r="AG344" s="1">
        <v>5655.16</v>
      </c>
      <c r="AH344" s="2">
        <v>45131</v>
      </c>
      <c r="AI344" s="2">
        <v>45291</v>
      </c>
      <c r="AJ344" s="2">
        <v>45131</v>
      </c>
    </row>
    <row r="345" spans="1:36">
      <c r="A345" s="1" t="str">
        <f>"A0000CD9FC"</f>
        <v>A0000CD9FC</v>
      </c>
      <c r="B345" s="1" t="str">
        <f t="shared" si="5"/>
        <v>02406911202</v>
      </c>
      <c r="C345" s="1" t="s">
        <v>13</v>
      </c>
      <c r="D345" s="1" t="s">
        <v>167</v>
      </c>
      <c r="E345" s="1" t="s">
        <v>532</v>
      </c>
      <c r="F345" s="1" t="s">
        <v>151</v>
      </c>
      <c r="G345" s="1" t="str">
        <f>"11206730159"</f>
        <v>11206730159</v>
      </c>
      <c r="I345" s="1" t="s">
        <v>68</v>
      </c>
      <c r="L345" s="1" t="s">
        <v>43</v>
      </c>
      <c r="M345" s="1">
        <v>302764.13</v>
      </c>
      <c r="AG345" s="1">
        <v>8102.3</v>
      </c>
      <c r="AH345" s="2">
        <v>45140</v>
      </c>
      <c r="AI345" s="2">
        <v>45412</v>
      </c>
      <c r="AJ345" s="2">
        <v>45140</v>
      </c>
    </row>
    <row r="346" spans="1:36">
      <c r="A346" s="1" t="str">
        <f>"Z373C1A909"</f>
        <v>Z373C1A909</v>
      </c>
      <c r="B346" s="1" t="str">
        <f t="shared" si="5"/>
        <v>02406911202</v>
      </c>
      <c r="C346" s="1" t="s">
        <v>13</v>
      </c>
      <c r="D346" s="1" t="s">
        <v>180</v>
      </c>
      <c r="E346" s="1" t="s">
        <v>315</v>
      </c>
      <c r="F346" s="1" t="s">
        <v>158</v>
      </c>
      <c r="H346" s="1" t="str">
        <f>"07065"</f>
        <v>07065</v>
      </c>
      <c r="I346" s="1" t="s">
        <v>533</v>
      </c>
      <c r="L346" s="1" t="s">
        <v>43</v>
      </c>
      <c r="M346" s="1">
        <v>5000</v>
      </c>
      <c r="AG346" s="1">
        <v>0</v>
      </c>
      <c r="AH346" s="2">
        <v>45140</v>
      </c>
      <c r="AI346" s="2">
        <v>45657</v>
      </c>
      <c r="AJ346" s="2">
        <v>45140</v>
      </c>
    </row>
    <row r="347" spans="1:36">
      <c r="A347" s="1" t="str">
        <f>"Z593C1B138"</f>
        <v>Z593C1B138</v>
      </c>
      <c r="B347" s="1" t="str">
        <f t="shared" si="5"/>
        <v>02406911202</v>
      </c>
      <c r="C347" s="1" t="s">
        <v>13</v>
      </c>
      <c r="D347" s="1" t="s">
        <v>177</v>
      </c>
      <c r="E347" s="1" t="s">
        <v>534</v>
      </c>
      <c r="F347" s="1" t="s">
        <v>158</v>
      </c>
      <c r="G347" s="1" t="str">
        <f>"03740340371"</f>
        <v>03740340371</v>
      </c>
      <c r="I347" s="1" t="s">
        <v>535</v>
      </c>
      <c r="L347" s="1" t="s">
        <v>43</v>
      </c>
      <c r="M347" s="1">
        <v>571.30999999999995</v>
      </c>
      <c r="AG347" s="1">
        <v>571.30999999999995</v>
      </c>
      <c r="AH347" s="2">
        <v>45140</v>
      </c>
      <c r="AI347" s="2">
        <v>45291</v>
      </c>
      <c r="AJ347" s="2">
        <v>45140</v>
      </c>
    </row>
    <row r="348" spans="1:36">
      <c r="A348" s="1" t="str">
        <f>"ZF53C13B73"</f>
        <v>ZF53C13B73</v>
      </c>
      <c r="B348" s="1" t="str">
        <f t="shared" si="5"/>
        <v>02406911202</v>
      </c>
      <c r="C348" s="1" t="s">
        <v>13</v>
      </c>
      <c r="D348" s="1" t="s">
        <v>177</v>
      </c>
      <c r="E348" s="1" t="s">
        <v>536</v>
      </c>
      <c r="F348" s="1" t="s">
        <v>158</v>
      </c>
      <c r="G348" s="1" t="str">
        <f>"02510950377"</f>
        <v>02510950377</v>
      </c>
      <c r="I348" s="1" t="s">
        <v>537</v>
      </c>
      <c r="L348" s="1" t="s">
        <v>43</v>
      </c>
      <c r="M348" s="1">
        <v>189078</v>
      </c>
      <c r="AG348" s="1">
        <v>21854.22</v>
      </c>
      <c r="AH348" s="2">
        <v>45108</v>
      </c>
      <c r="AI348" s="2">
        <v>45657</v>
      </c>
      <c r="AJ348" s="2">
        <v>45108</v>
      </c>
    </row>
    <row r="349" spans="1:36">
      <c r="A349" s="1" t="str">
        <f>"Z373C147F8"</f>
        <v>Z373C147F8</v>
      </c>
      <c r="B349" s="1" t="str">
        <f t="shared" si="5"/>
        <v>02406911202</v>
      </c>
      <c r="C349" s="1" t="s">
        <v>13</v>
      </c>
      <c r="D349" s="1" t="s">
        <v>177</v>
      </c>
      <c r="E349" s="1" t="s">
        <v>538</v>
      </c>
      <c r="F349" s="1" t="s">
        <v>158</v>
      </c>
      <c r="G349" s="1" t="str">
        <f>"02422361200"</f>
        <v>02422361200</v>
      </c>
      <c r="I349" s="1" t="s">
        <v>539</v>
      </c>
      <c r="L349" s="1" t="s">
        <v>43</v>
      </c>
      <c r="M349" s="1">
        <v>140681</v>
      </c>
      <c r="AG349" s="1">
        <v>19071.39</v>
      </c>
      <c r="AH349" s="2">
        <v>45108</v>
      </c>
      <c r="AI349" s="2">
        <v>45657</v>
      </c>
      <c r="AJ349" s="2">
        <v>45108</v>
      </c>
    </row>
    <row r="350" spans="1:36">
      <c r="A350" s="1" t="str">
        <f>"Z7A3C1495C"</f>
        <v>Z7A3C1495C</v>
      </c>
      <c r="B350" s="1" t="str">
        <f t="shared" si="5"/>
        <v>02406911202</v>
      </c>
      <c r="C350" s="1" t="s">
        <v>13</v>
      </c>
      <c r="D350" s="1" t="s">
        <v>177</v>
      </c>
      <c r="E350" s="1" t="s">
        <v>540</v>
      </c>
      <c r="F350" s="1" t="s">
        <v>158</v>
      </c>
      <c r="G350" s="1" t="str">
        <f>"01750561209"</f>
        <v>01750561209</v>
      </c>
      <c r="I350" s="1" t="s">
        <v>541</v>
      </c>
      <c r="L350" s="1" t="s">
        <v>43</v>
      </c>
      <c r="M350" s="1">
        <v>573611</v>
      </c>
      <c r="AG350" s="1">
        <v>206248.48</v>
      </c>
      <c r="AH350" s="2">
        <v>45108</v>
      </c>
      <c r="AI350" s="2">
        <v>45657</v>
      </c>
      <c r="AJ350" s="2">
        <v>45108</v>
      </c>
    </row>
    <row r="351" spans="1:36">
      <c r="A351" s="1" t="str">
        <f>"ZA03C247BD"</f>
        <v>ZA03C247BD</v>
      </c>
      <c r="B351" s="1" t="str">
        <f t="shared" si="5"/>
        <v>02406911202</v>
      </c>
      <c r="C351" s="1" t="s">
        <v>13</v>
      </c>
      <c r="D351" s="1" t="s">
        <v>186</v>
      </c>
      <c r="E351" s="1" t="s">
        <v>542</v>
      </c>
      <c r="F351" s="1" t="s">
        <v>158</v>
      </c>
      <c r="G351" s="1" t="str">
        <f>"11159150157"</f>
        <v>11159150157</v>
      </c>
      <c r="I351" s="1" t="s">
        <v>543</v>
      </c>
      <c r="L351" s="1" t="s">
        <v>43</v>
      </c>
      <c r="M351" s="1">
        <v>4999</v>
      </c>
      <c r="AG351" s="1">
        <v>3636.1</v>
      </c>
      <c r="AH351" s="2">
        <v>45145</v>
      </c>
      <c r="AI351" s="2">
        <v>45291</v>
      </c>
      <c r="AJ351" s="2">
        <v>45145</v>
      </c>
    </row>
    <row r="352" spans="1:36">
      <c r="A352" s="1" t="str">
        <f>"A0046DA8C4"</f>
        <v>A0046DA8C4</v>
      </c>
      <c r="B352" s="1" t="str">
        <f t="shared" si="5"/>
        <v>02406911202</v>
      </c>
      <c r="C352" s="1" t="s">
        <v>13</v>
      </c>
      <c r="D352" s="1" t="s">
        <v>167</v>
      </c>
      <c r="E352" s="1" t="s">
        <v>526</v>
      </c>
      <c r="F352" s="1" t="s">
        <v>151</v>
      </c>
      <c r="G352" s="1" t="str">
        <f>"08082461008"</f>
        <v>08082461008</v>
      </c>
      <c r="I352" s="1" t="s">
        <v>88</v>
      </c>
      <c r="L352" s="1" t="s">
        <v>43</v>
      </c>
      <c r="M352" s="1">
        <v>301502.82</v>
      </c>
      <c r="AG352" s="1">
        <v>46068.08</v>
      </c>
      <c r="AH352" s="2">
        <v>45154</v>
      </c>
      <c r="AI352" s="2">
        <v>45519</v>
      </c>
      <c r="AJ352" s="2">
        <v>45154</v>
      </c>
    </row>
    <row r="353" spans="1:36">
      <c r="A353" s="1" t="str">
        <f>"A0046F6FDD"</f>
        <v>A0046F6FDD</v>
      </c>
      <c r="B353" s="1" t="str">
        <f t="shared" si="5"/>
        <v>02406911202</v>
      </c>
      <c r="C353" s="1" t="s">
        <v>13</v>
      </c>
      <c r="D353" s="1" t="s">
        <v>167</v>
      </c>
      <c r="E353" s="1" t="s">
        <v>526</v>
      </c>
      <c r="F353" s="1" t="s">
        <v>151</v>
      </c>
      <c r="G353" s="1" t="str">
        <f>"09238800156"</f>
        <v>09238800156</v>
      </c>
      <c r="I353" s="1" t="s">
        <v>92</v>
      </c>
      <c r="L353" s="1" t="s">
        <v>43</v>
      </c>
      <c r="M353" s="1">
        <v>69788.11</v>
      </c>
      <c r="AG353" s="1">
        <v>2917.56</v>
      </c>
      <c r="AH353" s="2">
        <v>45154</v>
      </c>
      <c r="AI353" s="2">
        <v>45519</v>
      </c>
      <c r="AJ353" s="2">
        <v>45154</v>
      </c>
    </row>
    <row r="354" spans="1:36">
      <c r="A354" s="1" t="str">
        <f>"ZEA3C3CE4D"</f>
        <v>ZEA3C3CE4D</v>
      </c>
      <c r="B354" s="1" t="str">
        <f t="shared" si="5"/>
        <v>02406911202</v>
      </c>
      <c r="C354" s="1" t="s">
        <v>13</v>
      </c>
      <c r="D354" s="1" t="s">
        <v>180</v>
      </c>
      <c r="E354" s="1" t="s">
        <v>181</v>
      </c>
      <c r="F354" s="1" t="s">
        <v>158</v>
      </c>
      <c r="H354" s="1" t="str">
        <f>"106883221"</f>
        <v>106883221</v>
      </c>
      <c r="I354" s="1" t="s">
        <v>544</v>
      </c>
      <c r="L354" s="1" t="s">
        <v>43</v>
      </c>
      <c r="M354" s="1">
        <v>6000</v>
      </c>
      <c r="AG354" s="1">
        <v>6477.39</v>
      </c>
      <c r="AH354" s="2">
        <v>45161</v>
      </c>
      <c r="AI354" s="2">
        <v>45291</v>
      </c>
      <c r="AJ354" s="2">
        <v>45161</v>
      </c>
    </row>
    <row r="355" spans="1:36">
      <c r="A355" s="1" t="str">
        <f>"99106417AC"</f>
        <v>99106417AC</v>
      </c>
      <c r="B355" s="1" t="str">
        <f t="shared" si="5"/>
        <v>02406911202</v>
      </c>
      <c r="C355" s="1" t="s">
        <v>13</v>
      </c>
      <c r="D355" s="1" t="s">
        <v>167</v>
      </c>
      <c r="E355" s="1" t="s">
        <v>545</v>
      </c>
      <c r="F355" s="1" t="s">
        <v>39</v>
      </c>
      <c r="G355" s="1" t="str">
        <f>"08862820969"</f>
        <v>08862820969</v>
      </c>
      <c r="I355" s="1" t="s">
        <v>147</v>
      </c>
      <c r="L355" s="1" t="s">
        <v>43</v>
      </c>
      <c r="M355" s="1">
        <v>290000</v>
      </c>
      <c r="AG355" s="1">
        <v>87000</v>
      </c>
      <c r="AH355" s="2">
        <v>45121</v>
      </c>
      <c r="AI355" s="2">
        <v>45657</v>
      </c>
      <c r="AJ355" s="2">
        <v>45121</v>
      </c>
    </row>
    <row r="356" spans="1:36">
      <c r="A356" s="1" t="str">
        <f>"99343179B9"</f>
        <v>99343179B9</v>
      </c>
      <c r="B356" s="1" t="str">
        <f t="shared" si="5"/>
        <v>02406911202</v>
      </c>
      <c r="C356" s="1" t="s">
        <v>13</v>
      </c>
      <c r="D356" s="1" t="s">
        <v>167</v>
      </c>
      <c r="E356" s="1" t="s">
        <v>546</v>
      </c>
      <c r="F356" s="1" t="s">
        <v>39</v>
      </c>
      <c r="G356" s="1" t="str">
        <f>"00970310397"</f>
        <v>00970310397</v>
      </c>
      <c r="I356" s="1" t="s">
        <v>547</v>
      </c>
      <c r="L356" s="1" t="s">
        <v>43</v>
      </c>
      <c r="M356" s="1">
        <v>109616</v>
      </c>
      <c r="AG356" s="1">
        <v>0</v>
      </c>
      <c r="AH356" s="2">
        <v>45140</v>
      </c>
      <c r="AI356" s="2">
        <v>45505</v>
      </c>
      <c r="AJ356" s="2">
        <v>45140</v>
      </c>
    </row>
    <row r="357" spans="1:36">
      <c r="A357" s="1" t="str">
        <f>"A000B004A8"</f>
        <v>A000B004A8</v>
      </c>
      <c r="B357" s="1" t="str">
        <f t="shared" si="5"/>
        <v>02406911202</v>
      </c>
      <c r="C357" s="1" t="s">
        <v>13</v>
      </c>
      <c r="D357" s="1" t="s">
        <v>167</v>
      </c>
      <c r="E357" s="1" t="s">
        <v>450</v>
      </c>
      <c r="F357" s="1" t="s">
        <v>151</v>
      </c>
      <c r="G357" s="1" t="str">
        <f>"02173550282"</f>
        <v>02173550282</v>
      </c>
      <c r="I357" s="1" t="s">
        <v>548</v>
      </c>
      <c r="L357" s="1" t="s">
        <v>43</v>
      </c>
      <c r="M357" s="1">
        <v>5000</v>
      </c>
      <c r="AG357" s="1">
        <v>1430</v>
      </c>
      <c r="AH357" s="2">
        <v>45139</v>
      </c>
      <c r="AI357" s="2">
        <v>45230</v>
      </c>
      <c r="AJ357" s="2">
        <v>45139</v>
      </c>
    </row>
    <row r="358" spans="1:36">
      <c r="A358" s="1" t="str">
        <f>"9942771A2F"</f>
        <v>9942771A2F</v>
      </c>
      <c r="B358" s="1" t="str">
        <f t="shared" si="5"/>
        <v>02406911202</v>
      </c>
      <c r="C358" s="1" t="s">
        <v>13</v>
      </c>
      <c r="D358" s="1" t="s">
        <v>167</v>
      </c>
      <c r="E358" s="1" t="s">
        <v>549</v>
      </c>
      <c r="F358" s="1" t="s">
        <v>151</v>
      </c>
      <c r="G358" s="1" t="str">
        <f>"08619670584"</f>
        <v>08619670584</v>
      </c>
      <c r="I358" s="1" t="s">
        <v>550</v>
      </c>
      <c r="L358" s="1" t="s">
        <v>43</v>
      </c>
      <c r="M358" s="1">
        <v>84569.22</v>
      </c>
      <c r="AG358" s="1">
        <v>0</v>
      </c>
      <c r="AH358" s="2">
        <v>45128</v>
      </c>
      <c r="AI358" s="2">
        <v>45392</v>
      </c>
      <c r="AJ358" s="2">
        <v>45128</v>
      </c>
    </row>
    <row r="359" spans="1:36">
      <c r="A359" s="1" t="str">
        <f>"Z193C32537"</f>
        <v>Z193C32537</v>
      </c>
      <c r="B359" s="1" t="str">
        <f t="shared" si="5"/>
        <v>02406911202</v>
      </c>
      <c r="C359" s="1" t="s">
        <v>13</v>
      </c>
      <c r="D359" s="1" t="s">
        <v>180</v>
      </c>
      <c r="E359" s="1" t="s">
        <v>281</v>
      </c>
      <c r="F359" s="1" t="s">
        <v>158</v>
      </c>
      <c r="G359" s="1" t="str">
        <f>"04289840268"</f>
        <v>04289840268</v>
      </c>
      <c r="I359" s="1" t="s">
        <v>302</v>
      </c>
      <c r="L359" s="1" t="s">
        <v>43</v>
      </c>
      <c r="M359" s="1">
        <v>6000</v>
      </c>
      <c r="AG359" s="1">
        <v>7574.49</v>
      </c>
      <c r="AH359" s="2">
        <v>45152</v>
      </c>
      <c r="AI359" s="2">
        <v>45291</v>
      </c>
      <c r="AJ359" s="2">
        <v>45152</v>
      </c>
    </row>
    <row r="360" spans="1:36">
      <c r="A360" s="1" t="str">
        <f>"9942817028"</f>
        <v>9942817028</v>
      </c>
      <c r="B360" s="1" t="str">
        <f t="shared" si="5"/>
        <v>02406911202</v>
      </c>
      <c r="C360" s="1" t="s">
        <v>13</v>
      </c>
      <c r="D360" s="1" t="s">
        <v>167</v>
      </c>
      <c r="E360" s="1" t="s">
        <v>551</v>
      </c>
      <c r="F360" s="1" t="s">
        <v>151</v>
      </c>
      <c r="G360" s="1" t="str">
        <f>"07435060152"</f>
        <v>07435060152</v>
      </c>
      <c r="I360" s="1" t="s">
        <v>552</v>
      </c>
      <c r="L360" s="1" t="s">
        <v>43</v>
      </c>
      <c r="M360" s="1">
        <v>11074.4</v>
      </c>
      <c r="AG360" s="1">
        <v>0</v>
      </c>
      <c r="AH360" s="2">
        <v>45111</v>
      </c>
      <c r="AI360" s="2">
        <v>45246</v>
      </c>
      <c r="AJ360" s="2">
        <v>45111</v>
      </c>
    </row>
    <row r="361" spans="1:36">
      <c r="A361" s="1" t="str">
        <f>"Z783BD64AA"</f>
        <v>Z783BD64AA</v>
      </c>
      <c r="B361" s="1" t="str">
        <f t="shared" si="5"/>
        <v>02406911202</v>
      </c>
      <c r="C361" s="1" t="s">
        <v>13</v>
      </c>
      <c r="D361" s="1" t="s">
        <v>180</v>
      </c>
      <c r="E361" s="1" t="s">
        <v>281</v>
      </c>
      <c r="F361" s="1" t="s">
        <v>158</v>
      </c>
      <c r="G361" s="1" t="str">
        <f>"07796530967"</f>
        <v>07796530967</v>
      </c>
      <c r="I361" s="1" t="s">
        <v>553</v>
      </c>
      <c r="L361" s="1" t="s">
        <v>43</v>
      </c>
      <c r="M361" s="1">
        <v>6000</v>
      </c>
      <c r="AG361" s="1">
        <v>3350.25</v>
      </c>
      <c r="AH361" s="2">
        <v>45114</v>
      </c>
      <c r="AI361" s="2">
        <v>45291</v>
      </c>
      <c r="AJ361" s="2">
        <v>45114</v>
      </c>
    </row>
    <row r="362" spans="1:36">
      <c r="A362" s="1" t="str">
        <f>"ZF83BD65D4"</f>
        <v>ZF83BD65D4</v>
      </c>
      <c r="B362" s="1" t="str">
        <f t="shared" si="5"/>
        <v>02406911202</v>
      </c>
      <c r="C362" s="1" t="s">
        <v>13</v>
      </c>
      <c r="D362" s="1" t="s">
        <v>180</v>
      </c>
      <c r="E362" s="1" t="s">
        <v>281</v>
      </c>
      <c r="F362" s="1" t="s">
        <v>158</v>
      </c>
      <c r="G362" s="1" t="str">
        <f>"07077990013"</f>
        <v>07077990013</v>
      </c>
      <c r="I362" s="1" t="s">
        <v>554</v>
      </c>
      <c r="L362" s="1" t="s">
        <v>43</v>
      </c>
      <c r="M362" s="1">
        <v>6000</v>
      </c>
      <c r="AG362" s="1">
        <v>6051.5</v>
      </c>
      <c r="AH362" s="2">
        <v>45114</v>
      </c>
      <c r="AI362" s="2">
        <v>45291</v>
      </c>
      <c r="AJ362" s="2">
        <v>45114</v>
      </c>
    </row>
    <row r="363" spans="1:36">
      <c r="A363" s="1" t="str">
        <f>"9914004EE6"</f>
        <v>9914004EE6</v>
      </c>
      <c r="B363" s="1" t="str">
        <f t="shared" si="5"/>
        <v>02406911202</v>
      </c>
      <c r="C363" s="1" t="s">
        <v>13</v>
      </c>
      <c r="D363" s="1" t="s">
        <v>186</v>
      </c>
      <c r="E363" s="1" t="s">
        <v>555</v>
      </c>
      <c r="F363" s="1" t="s">
        <v>158</v>
      </c>
      <c r="G363" s="1" t="str">
        <f>"11575580151"</f>
        <v>11575580151</v>
      </c>
      <c r="I363" s="1" t="s">
        <v>127</v>
      </c>
      <c r="L363" s="1" t="s">
        <v>43</v>
      </c>
      <c r="M363" s="1">
        <v>39820</v>
      </c>
      <c r="AG363" s="1">
        <v>8187.12</v>
      </c>
      <c r="AH363" s="2">
        <v>45114</v>
      </c>
      <c r="AI363" s="2">
        <v>45657</v>
      </c>
      <c r="AJ363" s="2">
        <v>45114</v>
      </c>
    </row>
    <row r="364" spans="1:36">
      <c r="A364" s="1" t="str">
        <f>"Z8D3BF43E4"</f>
        <v>Z8D3BF43E4</v>
      </c>
      <c r="B364" s="1" t="str">
        <f t="shared" si="5"/>
        <v>02406911202</v>
      </c>
      <c r="C364" s="1" t="s">
        <v>13</v>
      </c>
      <c r="D364" s="1" t="s">
        <v>177</v>
      </c>
      <c r="E364" s="1" t="s">
        <v>556</v>
      </c>
      <c r="F364" s="1" t="s">
        <v>158</v>
      </c>
      <c r="G364" s="1" t="str">
        <f>"04247720982"</f>
        <v>04247720982</v>
      </c>
      <c r="I364" s="1" t="s">
        <v>557</v>
      </c>
      <c r="L364" s="1" t="s">
        <v>43</v>
      </c>
      <c r="M364" s="1">
        <v>2131.14</v>
      </c>
      <c r="AG364" s="1">
        <v>2600</v>
      </c>
      <c r="AH364" s="2">
        <v>45126</v>
      </c>
      <c r="AI364" s="2">
        <v>45291</v>
      </c>
      <c r="AJ364" s="2">
        <v>45126</v>
      </c>
    </row>
    <row r="365" spans="1:36">
      <c r="A365" s="1" t="str">
        <f>"Z973BE0112"</f>
        <v>Z973BE0112</v>
      </c>
      <c r="B365" s="1" t="str">
        <f t="shared" si="5"/>
        <v>02406911202</v>
      </c>
      <c r="C365" s="1" t="s">
        <v>13</v>
      </c>
      <c r="D365" s="1" t="s">
        <v>180</v>
      </c>
      <c r="E365" s="1" t="s">
        <v>296</v>
      </c>
      <c r="F365" s="1" t="s">
        <v>158</v>
      </c>
      <c r="G365" s="1" t="str">
        <f>"11575580151"</f>
        <v>11575580151</v>
      </c>
      <c r="I365" s="1" t="s">
        <v>127</v>
      </c>
      <c r="L365" s="1" t="s">
        <v>43</v>
      </c>
      <c r="M365" s="1">
        <v>5000</v>
      </c>
      <c r="AG365" s="1">
        <v>5546</v>
      </c>
      <c r="AH365" s="2">
        <v>45124</v>
      </c>
      <c r="AI365" s="2">
        <v>45291</v>
      </c>
      <c r="AJ365" s="2">
        <v>45124</v>
      </c>
    </row>
    <row r="366" spans="1:36">
      <c r="A366" s="1" t="str">
        <f>"9952970AAA"</f>
        <v>9952970AAA</v>
      </c>
      <c r="B366" s="1" t="str">
        <f t="shared" si="5"/>
        <v>02406911202</v>
      </c>
      <c r="C366" s="1" t="s">
        <v>13</v>
      </c>
      <c r="D366" s="1" t="s">
        <v>167</v>
      </c>
      <c r="E366" s="1" t="s">
        <v>558</v>
      </c>
      <c r="F366" s="1" t="s">
        <v>151</v>
      </c>
      <c r="G366" s="1" t="str">
        <f>"03524050238"</f>
        <v>03524050238</v>
      </c>
      <c r="I366" s="1" t="s">
        <v>171</v>
      </c>
      <c r="L366" s="1" t="s">
        <v>43</v>
      </c>
      <c r="M366" s="1">
        <v>1200211.5</v>
      </c>
      <c r="AG366" s="1">
        <v>84104.8</v>
      </c>
      <c r="AH366" s="2">
        <v>45125</v>
      </c>
      <c r="AI366" s="2">
        <v>46203</v>
      </c>
      <c r="AJ366" s="2">
        <v>45125</v>
      </c>
    </row>
    <row r="367" spans="1:36">
      <c r="A367" s="1" t="str">
        <f>"9979552AD3"</f>
        <v>9979552AD3</v>
      </c>
      <c r="B367" s="1" t="str">
        <f t="shared" si="5"/>
        <v>02406911202</v>
      </c>
      <c r="C367" s="1" t="s">
        <v>13</v>
      </c>
      <c r="D367" s="1" t="s">
        <v>167</v>
      </c>
      <c r="E367" s="1" t="s">
        <v>559</v>
      </c>
      <c r="F367" s="1" t="s">
        <v>51</v>
      </c>
      <c r="G367" s="1" t="str">
        <f>"11030881004"</f>
        <v>11030881004</v>
      </c>
      <c r="I367" s="1" t="s">
        <v>560</v>
      </c>
      <c r="L367" s="1" t="s">
        <v>43</v>
      </c>
      <c r="M367" s="1">
        <v>24500</v>
      </c>
      <c r="AG367" s="1">
        <v>2678.86</v>
      </c>
      <c r="AH367" s="2">
        <v>45139</v>
      </c>
      <c r="AI367" s="2">
        <v>45504</v>
      </c>
      <c r="AJ367" s="2">
        <v>45139</v>
      </c>
    </row>
    <row r="368" spans="1:36">
      <c r="A368" s="1" t="str">
        <f>"99784773B7"</f>
        <v>99784773B7</v>
      </c>
      <c r="B368" s="1" t="str">
        <f t="shared" si="5"/>
        <v>02406911202</v>
      </c>
      <c r="C368" s="1" t="s">
        <v>13</v>
      </c>
      <c r="D368" s="1" t="s">
        <v>167</v>
      </c>
      <c r="E368" s="1" t="s">
        <v>561</v>
      </c>
      <c r="F368" s="1" t="s">
        <v>51</v>
      </c>
      <c r="G368" s="1" t="str">
        <f>"11030881004"</f>
        <v>11030881004</v>
      </c>
      <c r="I368" s="1" t="s">
        <v>560</v>
      </c>
      <c r="L368" s="1" t="s">
        <v>43</v>
      </c>
      <c r="M368" s="1">
        <v>39200</v>
      </c>
      <c r="AG368" s="1">
        <v>25695.919999999998</v>
      </c>
      <c r="AH368" s="2">
        <v>45139</v>
      </c>
      <c r="AI368" s="2">
        <v>45504</v>
      </c>
      <c r="AJ368" s="2">
        <v>45139</v>
      </c>
    </row>
    <row r="369" spans="1:36">
      <c r="A369" s="1" t="str">
        <f>"Z243C32F0B"</f>
        <v>Z243C32F0B</v>
      </c>
      <c r="B369" s="1" t="str">
        <f t="shared" si="5"/>
        <v>02406911202</v>
      </c>
      <c r="C369" s="1" t="s">
        <v>13</v>
      </c>
      <c r="D369" s="1" t="s">
        <v>180</v>
      </c>
      <c r="E369" s="1" t="s">
        <v>181</v>
      </c>
      <c r="F369" s="1" t="s">
        <v>158</v>
      </c>
      <c r="G369" s="1" t="str">
        <f>"03432221202"</f>
        <v>03432221202</v>
      </c>
      <c r="I369" s="1" t="s">
        <v>562</v>
      </c>
      <c r="L369" s="1" t="s">
        <v>43</v>
      </c>
      <c r="M369" s="1">
        <v>6000</v>
      </c>
      <c r="AG369" s="1">
        <v>5355.64</v>
      </c>
      <c r="AH369" s="2">
        <v>45155</v>
      </c>
      <c r="AI369" s="2">
        <v>45657</v>
      </c>
      <c r="AJ369" s="2">
        <v>45155</v>
      </c>
    </row>
    <row r="370" spans="1:36">
      <c r="A370" s="1" t="str">
        <f>"Z013C35E7A"</f>
        <v>Z013C35E7A</v>
      </c>
      <c r="B370" s="1" t="str">
        <f t="shared" si="5"/>
        <v>02406911202</v>
      </c>
      <c r="C370" s="1" t="s">
        <v>13</v>
      </c>
      <c r="D370" s="1" t="s">
        <v>180</v>
      </c>
      <c r="E370" s="1" t="s">
        <v>296</v>
      </c>
      <c r="F370" s="1" t="s">
        <v>158</v>
      </c>
      <c r="G370" s="1" t="str">
        <f>"11575580151"</f>
        <v>11575580151</v>
      </c>
      <c r="I370" s="1" t="s">
        <v>127</v>
      </c>
      <c r="L370" s="1" t="s">
        <v>43</v>
      </c>
      <c r="M370" s="1">
        <v>6000</v>
      </c>
      <c r="AG370" s="1">
        <v>5548.32</v>
      </c>
      <c r="AH370" s="2">
        <v>45156</v>
      </c>
      <c r="AI370" s="2">
        <v>45291</v>
      </c>
      <c r="AJ370" s="2">
        <v>45156</v>
      </c>
    </row>
    <row r="371" spans="1:36">
      <c r="A371" s="1" t="str">
        <f>"A00572177C"</f>
        <v>A00572177C</v>
      </c>
      <c r="B371" s="1" t="str">
        <f t="shared" si="5"/>
        <v>02406911202</v>
      </c>
      <c r="C371" s="1" t="s">
        <v>13</v>
      </c>
      <c r="D371" s="1" t="s">
        <v>167</v>
      </c>
      <c r="E371" s="1" t="s">
        <v>563</v>
      </c>
      <c r="F371" s="1" t="s">
        <v>39</v>
      </c>
      <c r="G371" s="1" t="str">
        <f>"04754860155"</f>
        <v>04754860155</v>
      </c>
      <c r="I371" s="1" t="s">
        <v>62</v>
      </c>
      <c r="L371" s="1" t="s">
        <v>43</v>
      </c>
      <c r="M371" s="1">
        <v>141681</v>
      </c>
      <c r="AG371" s="1">
        <v>26403.9</v>
      </c>
      <c r="AH371" s="2">
        <v>45159</v>
      </c>
      <c r="AI371" s="2">
        <v>45515</v>
      </c>
      <c r="AJ371" s="2">
        <v>45159</v>
      </c>
    </row>
    <row r="372" spans="1:36">
      <c r="A372" s="1" t="str">
        <f>"Z043BF5EB2"</f>
        <v>Z043BF5EB2</v>
      </c>
      <c r="B372" s="1" t="str">
        <f t="shared" si="5"/>
        <v>02406911202</v>
      </c>
      <c r="C372" s="1" t="s">
        <v>13</v>
      </c>
      <c r="D372" s="1" t="s">
        <v>177</v>
      </c>
      <c r="E372" s="1" t="s">
        <v>564</v>
      </c>
      <c r="F372" s="1" t="s">
        <v>158</v>
      </c>
      <c r="G372" s="1" t="str">
        <f>"92049540377"</f>
        <v>92049540377</v>
      </c>
      <c r="I372" s="1" t="s">
        <v>273</v>
      </c>
      <c r="L372" s="1" t="s">
        <v>43</v>
      </c>
      <c r="M372" s="1">
        <v>6000</v>
      </c>
      <c r="AG372" s="1">
        <v>0</v>
      </c>
      <c r="AH372" s="2">
        <v>45108</v>
      </c>
      <c r="AI372" s="2">
        <v>45291</v>
      </c>
      <c r="AJ372" s="2">
        <v>45108</v>
      </c>
    </row>
    <row r="373" spans="1:36">
      <c r="A373" s="1" t="str">
        <f>"Z003BF5F94"</f>
        <v>Z003BF5F94</v>
      </c>
      <c r="B373" s="1" t="str">
        <f t="shared" si="5"/>
        <v>02406911202</v>
      </c>
      <c r="C373" s="1" t="s">
        <v>13</v>
      </c>
      <c r="D373" s="1" t="s">
        <v>186</v>
      </c>
      <c r="E373" s="1" t="s">
        <v>565</v>
      </c>
      <c r="F373" s="1" t="s">
        <v>158</v>
      </c>
      <c r="G373" s="1" t="str">
        <f>"91155450371"</f>
        <v>91155450371</v>
      </c>
      <c r="I373" s="1" t="s">
        <v>369</v>
      </c>
      <c r="L373" s="1" t="s">
        <v>43</v>
      </c>
      <c r="M373" s="1">
        <v>4999</v>
      </c>
      <c r="AG373" s="1">
        <v>4271.12</v>
      </c>
      <c r="AH373" s="2">
        <v>45126</v>
      </c>
      <c r="AI373" s="2">
        <v>45291</v>
      </c>
      <c r="AJ373" s="2">
        <v>45126</v>
      </c>
    </row>
    <row r="374" spans="1:36">
      <c r="A374" s="1" t="str">
        <f>"ZC33BF499F"</f>
        <v>ZC33BF499F</v>
      </c>
      <c r="B374" s="1" t="str">
        <f t="shared" si="5"/>
        <v>02406911202</v>
      </c>
      <c r="C374" s="1" t="s">
        <v>13</v>
      </c>
      <c r="D374" s="1" t="s">
        <v>180</v>
      </c>
      <c r="E374" s="1" t="s">
        <v>181</v>
      </c>
      <c r="F374" s="1" t="s">
        <v>158</v>
      </c>
      <c r="G374" s="1" t="str">
        <f>"02062550443"</f>
        <v>02062550443</v>
      </c>
      <c r="I374" s="1" t="s">
        <v>566</v>
      </c>
      <c r="L374" s="1" t="s">
        <v>43</v>
      </c>
      <c r="M374" s="1">
        <v>5000</v>
      </c>
      <c r="AG374" s="1">
        <v>4060.42</v>
      </c>
      <c r="AH374" s="2">
        <v>45127</v>
      </c>
      <c r="AI374" s="2">
        <v>45291</v>
      </c>
      <c r="AJ374" s="2">
        <v>45127</v>
      </c>
    </row>
    <row r="375" spans="1:36">
      <c r="A375" s="1" t="str">
        <f>"9959349AC8"</f>
        <v>9959349AC8</v>
      </c>
      <c r="B375" s="1" t="str">
        <f t="shared" si="5"/>
        <v>02406911202</v>
      </c>
      <c r="C375" s="1" t="s">
        <v>13</v>
      </c>
      <c r="D375" s="1" t="s">
        <v>186</v>
      </c>
      <c r="E375" s="1" t="s">
        <v>567</v>
      </c>
      <c r="F375" s="1" t="s">
        <v>158</v>
      </c>
      <c r="G375" s="1" t="str">
        <f>"11160660152"</f>
        <v>11160660152</v>
      </c>
      <c r="I375" s="1" t="s">
        <v>457</v>
      </c>
      <c r="L375" s="1" t="s">
        <v>43</v>
      </c>
      <c r="M375" s="1">
        <v>39220.25</v>
      </c>
      <c r="AG375" s="1">
        <v>36550.019999999997</v>
      </c>
      <c r="AH375" s="2">
        <v>45131</v>
      </c>
      <c r="AI375" s="2">
        <v>45230</v>
      </c>
      <c r="AJ375" s="2">
        <v>45131</v>
      </c>
    </row>
    <row r="376" spans="1:36">
      <c r="A376" s="1" t="str">
        <f>"ZC33BEEA84"</f>
        <v>ZC33BEEA84</v>
      </c>
      <c r="B376" s="1" t="str">
        <f t="shared" si="5"/>
        <v>02406911202</v>
      </c>
      <c r="C376" s="1" t="s">
        <v>13</v>
      </c>
      <c r="D376" s="1" t="s">
        <v>177</v>
      </c>
      <c r="E376" s="1" t="s">
        <v>568</v>
      </c>
      <c r="F376" s="1" t="s">
        <v>158</v>
      </c>
      <c r="G376" s="1" t="str">
        <f>"02833470301"</f>
        <v>02833470301</v>
      </c>
      <c r="I376" s="1" t="s">
        <v>569</v>
      </c>
      <c r="L376" s="1" t="s">
        <v>43</v>
      </c>
      <c r="M376" s="1">
        <v>420000</v>
      </c>
      <c r="AG376" s="1">
        <v>60340.12</v>
      </c>
      <c r="AH376" s="2">
        <v>45108</v>
      </c>
      <c r="AI376" s="2">
        <v>45657</v>
      </c>
      <c r="AJ376" s="2">
        <v>45108</v>
      </c>
    </row>
    <row r="377" spans="1:36">
      <c r="A377" s="1" t="str">
        <f>"Z343C16493"</f>
        <v>Z343C16493</v>
      </c>
      <c r="B377" s="1" t="str">
        <f t="shared" si="5"/>
        <v>02406911202</v>
      </c>
      <c r="C377" s="1" t="s">
        <v>13</v>
      </c>
      <c r="D377" s="1" t="s">
        <v>180</v>
      </c>
      <c r="E377" s="1" t="s">
        <v>181</v>
      </c>
      <c r="F377" s="1" t="s">
        <v>158</v>
      </c>
      <c r="G377" s="1" t="str">
        <f>"02130320035"</f>
        <v>02130320035</v>
      </c>
      <c r="I377" s="1" t="s">
        <v>367</v>
      </c>
      <c r="L377" s="1" t="s">
        <v>43</v>
      </c>
      <c r="M377" s="1">
        <v>5000</v>
      </c>
      <c r="AG377" s="1">
        <v>2637.1</v>
      </c>
      <c r="AH377" s="2">
        <v>45139</v>
      </c>
      <c r="AI377" s="2">
        <v>45291</v>
      </c>
      <c r="AJ377" s="2">
        <v>45139</v>
      </c>
    </row>
    <row r="378" spans="1:36">
      <c r="A378" s="1" t="str">
        <f>"ZE53C1643D"</f>
        <v>ZE53C1643D</v>
      </c>
      <c r="B378" s="1" t="str">
        <f t="shared" si="5"/>
        <v>02406911202</v>
      </c>
      <c r="C378" s="1" t="s">
        <v>13</v>
      </c>
      <c r="D378" s="1" t="s">
        <v>177</v>
      </c>
      <c r="E378" s="1" t="s">
        <v>570</v>
      </c>
      <c r="F378" s="1" t="s">
        <v>158</v>
      </c>
      <c r="G378" s="1" t="str">
        <f>"91362080375"</f>
        <v>91362080375</v>
      </c>
      <c r="I378" s="1" t="s">
        <v>571</v>
      </c>
      <c r="L378" s="1" t="s">
        <v>43</v>
      </c>
      <c r="M378" s="1">
        <v>160896</v>
      </c>
      <c r="AG378" s="1">
        <v>0</v>
      </c>
      <c r="AH378" s="2">
        <v>45108</v>
      </c>
      <c r="AI378" s="2">
        <v>45657</v>
      </c>
      <c r="AJ378" s="2">
        <v>45108</v>
      </c>
    </row>
    <row r="379" spans="1:36">
      <c r="A379" s="1" t="str">
        <f>"ZC93BD07C8"</f>
        <v>ZC93BD07C8</v>
      </c>
      <c r="B379" s="1" t="str">
        <f t="shared" si="5"/>
        <v>02406911202</v>
      </c>
      <c r="C379" s="1" t="s">
        <v>13</v>
      </c>
      <c r="D379" s="1" t="s">
        <v>180</v>
      </c>
      <c r="E379" s="1" t="s">
        <v>220</v>
      </c>
      <c r="F379" s="1" t="s">
        <v>158</v>
      </c>
      <c r="G379" s="1" t="str">
        <f>"06068041000"</f>
        <v>06068041000</v>
      </c>
      <c r="I379" s="1" t="s">
        <v>468</v>
      </c>
      <c r="L379" s="1" t="s">
        <v>43</v>
      </c>
      <c r="M379" s="1">
        <v>6000</v>
      </c>
      <c r="AG379" s="1">
        <v>6000</v>
      </c>
      <c r="AH379" s="2">
        <v>45117</v>
      </c>
      <c r="AI379" s="2">
        <v>45291</v>
      </c>
      <c r="AJ379" s="2">
        <v>45117</v>
      </c>
    </row>
    <row r="380" spans="1:36">
      <c r="A380" s="1" t="str">
        <f>"ZF43BE989E"</f>
        <v>ZF43BE989E</v>
      </c>
      <c r="B380" s="1" t="str">
        <f t="shared" si="5"/>
        <v>02406911202</v>
      </c>
      <c r="C380" s="1" t="s">
        <v>13</v>
      </c>
      <c r="D380" s="1" t="s">
        <v>177</v>
      </c>
      <c r="E380" s="1" t="s">
        <v>572</v>
      </c>
      <c r="F380" s="1" t="s">
        <v>158</v>
      </c>
      <c r="G380" s="1" t="str">
        <f>"02212860031"</f>
        <v>02212860031</v>
      </c>
      <c r="I380" s="1" t="s">
        <v>573</v>
      </c>
      <c r="L380" s="1" t="s">
        <v>43</v>
      </c>
      <c r="M380" s="1">
        <v>2131.14</v>
      </c>
      <c r="AG380" s="1">
        <v>0</v>
      </c>
      <c r="AH380" s="2">
        <v>45124</v>
      </c>
      <c r="AI380" s="2">
        <v>45291</v>
      </c>
      <c r="AJ380" s="2">
        <v>45124</v>
      </c>
    </row>
    <row r="381" spans="1:36">
      <c r="A381" s="1" t="str">
        <f>"Z8A3BFF682"</f>
        <v>Z8A3BFF682</v>
      </c>
      <c r="B381" s="1" t="str">
        <f t="shared" si="5"/>
        <v>02406911202</v>
      </c>
      <c r="C381" s="1" t="s">
        <v>13</v>
      </c>
      <c r="D381" s="1" t="s">
        <v>180</v>
      </c>
      <c r="E381" s="1" t="s">
        <v>185</v>
      </c>
      <c r="F381" s="1" t="s">
        <v>158</v>
      </c>
      <c r="G381" s="1" t="str">
        <f>"04918311210"</f>
        <v>04918311210</v>
      </c>
      <c r="I381" s="1" t="s">
        <v>85</v>
      </c>
      <c r="L381" s="1" t="s">
        <v>43</v>
      </c>
      <c r="M381" s="1">
        <v>6000</v>
      </c>
      <c r="AG381" s="1">
        <v>5945.46</v>
      </c>
      <c r="AH381" s="2">
        <v>45131</v>
      </c>
      <c r="AI381" s="2">
        <v>45291</v>
      </c>
      <c r="AJ381" s="2">
        <v>45131</v>
      </c>
    </row>
    <row r="382" spans="1:36">
      <c r="A382" s="1" t="str">
        <f>"Z023BF6DD8"</f>
        <v>Z023BF6DD8</v>
      </c>
      <c r="B382" s="1" t="str">
        <f t="shared" si="5"/>
        <v>02406911202</v>
      </c>
      <c r="C382" s="1" t="s">
        <v>13</v>
      </c>
      <c r="D382" s="1" t="s">
        <v>180</v>
      </c>
      <c r="E382" s="1" t="s">
        <v>244</v>
      </c>
      <c r="F382" s="1" t="s">
        <v>158</v>
      </c>
      <c r="G382" s="1" t="str">
        <f>"00674840152"</f>
        <v>00674840152</v>
      </c>
      <c r="I382" s="1" t="s">
        <v>87</v>
      </c>
      <c r="L382" s="1" t="s">
        <v>43</v>
      </c>
      <c r="M382" s="1">
        <v>5000</v>
      </c>
      <c r="AG382" s="1">
        <v>2495.27</v>
      </c>
      <c r="AH382" s="2">
        <v>45131</v>
      </c>
      <c r="AI382" s="2">
        <v>45657</v>
      </c>
      <c r="AJ382" s="2">
        <v>45131</v>
      </c>
    </row>
    <row r="383" spans="1:36">
      <c r="A383" s="1" t="str">
        <f>"Z0F3BBAE87"</f>
        <v>Z0F3BBAE87</v>
      </c>
      <c r="B383" s="1" t="str">
        <f t="shared" si="5"/>
        <v>02406911202</v>
      </c>
      <c r="C383" s="1" t="s">
        <v>13</v>
      </c>
      <c r="D383" s="1" t="s">
        <v>164</v>
      </c>
      <c r="E383" s="1" t="s">
        <v>574</v>
      </c>
      <c r="F383" s="1" t="s">
        <v>39</v>
      </c>
      <c r="G383" s="1" t="str">
        <f>"01311970386"</f>
        <v>01311970386</v>
      </c>
      <c r="I383" s="1" t="s">
        <v>575</v>
      </c>
      <c r="L383" s="1" t="s">
        <v>43</v>
      </c>
      <c r="M383" s="1">
        <v>9480</v>
      </c>
      <c r="AG383" s="1">
        <v>1313.89</v>
      </c>
      <c r="AH383" s="2">
        <v>45132</v>
      </c>
      <c r="AI383" s="2">
        <v>45291</v>
      </c>
      <c r="AJ383" s="2">
        <v>45132</v>
      </c>
    </row>
    <row r="384" spans="1:36">
      <c r="A384" s="1" t="str">
        <f>"9980508FBC"</f>
        <v>9980508FBC</v>
      </c>
      <c r="B384" s="1" t="str">
        <f t="shared" si="5"/>
        <v>02406911202</v>
      </c>
      <c r="C384" s="1" t="s">
        <v>13</v>
      </c>
      <c r="D384" s="1" t="s">
        <v>167</v>
      </c>
      <c r="E384" s="1" t="s">
        <v>576</v>
      </c>
      <c r="F384" s="1" t="s">
        <v>39</v>
      </c>
      <c r="G384" s="1" t="str">
        <f>"03878140239"</f>
        <v>03878140239</v>
      </c>
      <c r="I384" s="1" t="s">
        <v>45</v>
      </c>
      <c r="L384" s="1" t="s">
        <v>43</v>
      </c>
      <c r="M384" s="1">
        <v>116176.75</v>
      </c>
      <c r="AG384" s="1">
        <v>18105.47</v>
      </c>
      <c r="AH384" s="2">
        <v>45131</v>
      </c>
      <c r="AI384" s="2">
        <v>45473</v>
      </c>
      <c r="AJ384" s="2">
        <v>45131</v>
      </c>
    </row>
    <row r="385" spans="1:36">
      <c r="A385" s="1" t="str">
        <f>"ZB13C06311"</f>
        <v>ZB13C06311</v>
      </c>
      <c r="B385" s="1" t="str">
        <f t="shared" si="5"/>
        <v>02406911202</v>
      </c>
      <c r="C385" s="1" t="s">
        <v>13</v>
      </c>
      <c r="D385" s="1" t="s">
        <v>186</v>
      </c>
      <c r="E385" s="1" t="s">
        <v>577</v>
      </c>
      <c r="F385" s="1" t="s">
        <v>158</v>
      </c>
      <c r="G385" s="1" t="str">
        <f>"09238800156"</f>
        <v>09238800156</v>
      </c>
      <c r="I385" s="1" t="s">
        <v>92</v>
      </c>
      <c r="L385" s="1" t="s">
        <v>43</v>
      </c>
      <c r="M385" s="1">
        <v>4999</v>
      </c>
      <c r="AG385" s="1">
        <v>30</v>
      </c>
      <c r="AH385" s="2">
        <v>45133</v>
      </c>
      <c r="AI385" s="2">
        <v>46022</v>
      </c>
      <c r="AJ385" s="2">
        <v>45133</v>
      </c>
    </row>
    <row r="386" spans="1:36">
      <c r="A386" s="1" t="str">
        <f>"Z0C3C0716C"</f>
        <v>Z0C3C0716C</v>
      </c>
      <c r="B386" s="1" t="str">
        <f t="shared" ref="B386:B449" si="6">"02406911202"</f>
        <v>02406911202</v>
      </c>
      <c r="C386" s="1" t="s">
        <v>13</v>
      </c>
      <c r="D386" s="1" t="s">
        <v>180</v>
      </c>
      <c r="E386" s="1" t="s">
        <v>281</v>
      </c>
      <c r="F386" s="1" t="s">
        <v>158</v>
      </c>
      <c r="G386" s="1" t="str">
        <f>"00759430267"</f>
        <v>00759430267</v>
      </c>
      <c r="I386" s="1" t="s">
        <v>327</v>
      </c>
      <c r="L386" s="1" t="s">
        <v>43</v>
      </c>
      <c r="M386" s="1">
        <v>5000</v>
      </c>
      <c r="AG386" s="1">
        <v>5431.7</v>
      </c>
      <c r="AH386" s="2">
        <v>45133</v>
      </c>
      <c r="AI386" s="2">
        <v>45291</v>
      </c>
      <c r="AJ386" s="2">
        <v>45133</v>
      </c>
    </row>
    <row r="387" spans="1:36">
      <c r="A387" s="1" t="str">
        <f>"Z573BFA51C"</f>
        <v>Z573BFA51C</v>
      </c>
      <c r="B387" s="1" t="str">
        <f t="shared" si="6"/>
        <v>02406911202</v>
      </c>
      <c r="C387" s="1" t="s">
        <v>13</v>
      </c>
      <c r="D387" s="1" t="s">
        <v>180</v>
      </c>
      <c r="E387" s="1" t="s">
        <v>181</v>
      </c>
      <c r="F387" s="1" t="s">
        <v>158</v>
      </c>
      <c r="G387" s="1" t="str">
        <f>"00747170157"</f>
        <v>00747170157</v>
      </c>
      <c r="I387" s="1" t="s">
        <v>578</v>
      </c>
      <c r="L387" s="1" t="s">
        <v>43</v>
      </c>
      <c r="M387" s="1">
        <v>5000</v>
      </c>
      <c r="AG387" s="1">
        <v>3206.72</v>
      </c>
      <c r="AH387" s="2">
        <v>45133</v>
      </c>
      <c r="AI387" s="2">
        <v>45291</v>
      </c>
      <c r="AJ387" s="2">
        <v>45133</v>
      </c>
    </row>
    <row r="388" spans="1:36">
      <c r="A388" s="1" t="str">
        <f>"Z5A3C0CE05"</f>
        <v>Z5A3C0CE05</v>
      </c>
      <c r="B388" s="1" t="str">
        <f t="shared" si="6"/>
        <v>02406911202</v>
      </c>
      <c r="C388" s="1" t="s">
        <v>13</v>
      </c>
      <c r="D388" s="1" t="s">
        <v>180</v>
      </c>
      <c r="E388" s="1" t="s">
        <v>281</v>
      </c>
      <c r="F388" s="1" t="s">
        <v>158</v>
      </c>
      <c r="G388" s="1" t="str">
        <f>"00514240142"</f>
        <v>00514240142</v>
      </c>
      <c r="I388" s="1" t="s">
        <v>492</v>
      </c>
      <c r="L388" s="1" t="s">
        <v>43</v>
      </c>
      <c r="M388" s="1">
        <v>6000</v>
      </c>
      <c r="AG388" s="1">
        <v>7073.75</v>
      </c>
      <c r="AH388" s="2">
        <v>45135</v>
      </c>
      <c r="AI388" s="2">
        <v>45291</v>
      </c>
      <c r="AJ388" s="2">
        <v>45135</v>
      </c>
    </row>
    <row r="389" spans="1:36">
      <c r="A389" s="1" t="str">
        <f>"ZB43BFF129"</f>
        <v>ZB43BFF129</v>
      </c>
      <c r="B389" s="1" t="str">
        <f t="shared" si="6"/>
        <v>02406911202</v>
      </c>
      <c r="C389" s="1" t="s">
        <v>13</v>
      </c>
      <c r="D389" s="1" t="s">
        <v>180</v>
      </c>
      <c r="E389" s="1" t="s">
        <v>279</v>
      </c>
      <c r="F389" s="1" t="s">
        <v>158</v>
      </c>
      <c r="G389" s="1" t="str">
        <f>"03222390159"</f>
        <v>03222390159</v>
      </c>
      <c r="I389" s="1" t="s">
        <v>579</v>
      </c>
      <c r="L389" s="1" t="s">
        <v>43</v>
      </c>
      <c r="M389" s="1">
        <v>5000</v>
      </c>
      <c r="AG389" s="1">
        <v>1780</v>
      </c>
      <c r="AH389" s="2">
        <v>45131</v>
      </c>
      <c r="AI389" s="2">
        <v>45291</v>
      </c>
      <c r="AJ389" s="2">
        <v>45131</v>
      </c>
    </row>
    <row r="390" spans="1:36">
      <c r="A390" s="1" t="str">
        <f>"Z163BEA556"</f>
        <v>Z163BEA556</v>
      </c>
      <c r="B390" s="1" t="str">
        <f t="shared" si="6"/>
        <v>02406911202</v>
      </c>
      <c r="C390" s="1" t="s">
        <v>13</v>
      </c>
      <c r="D390" s="1" t="s">
        <v>177</v>
      </c>
      <c r="E390" s="1" t="s">
        <v>580</v>
      </c>
      <c r="F390" s="1" t="s">
        <v>158</v>
      </c>
      <c r="G390" s="1" t="str">
        <f>"92013330375"</f>
        <v>92013330375</v>
      </c>
      <c r="I390" s="1" t="s">
        <v>581</v>
      </c>
      <c r="L390" s="1" t="s">
        <v>43</v>
      </c>
      <c r="M390" s="1">
        <v>1201500</v>
      </c>
      <c r="AG390" s="1">
        <v>276508.92</v>
      </c>
      <c r="AH390" s="2">
        <v>45108</v>
      </c>
      <c r="AI390" s="2">
        <v>45657</v>
      </c>
      <c r="AJ390" s="2">
        <v>45108</v>
      </c>
    </row>
    <row r="391" spans="1:36">
      <c r="A391" s="1" t="str">
        <f>"Z1C3BEF178"</f>
        <v>Z1C3BEF178</v>
      </c>
      <c r="B391" s="1" t="str">
        <f t="shared" si="6"/>
        <v>02406911202</v>
      </c>
      <c r="C391" s="1" t="s">
        <v>13</v>
      </c>
      <c r="D391" s="1" t="s">
        <v>177</v>
      </c>
      <c r="E391" s="1" t="s">
        <v>582</v>
      </c>
      <c r="F391" s="1" t="s">
        <v>158</v>
      </c>
      <c r="G391" s="1" t="str">
        <f>"02376540379"</f>
        <v>02376540379</v>
      </c>
      <c r="I391" s="1" t="s">
        <v>583</v>
      </c>
      <c r="L391" s="1" t="s">
        <v>43</v>
      </c>
      <c r="M391" s="1">
        <v>1220700</v>
      </c>
      <c r="AG391" s="1">
        <v>269768.63</v>
      </c>
      <c r="AH391" s="2">
        <v>45108</v>
      </c>
      <c r="AI391" s="2">
        <v>45657</v>
      </c>
      <c r="AJ391" s="2">
        <v>45108</v>
      </c>
    </row>
    <row r="392" spans="1:36">
      <c r="A392" s="1" t="str">
        <f>"Z613BFF739"</f>
        <v>Z613BFF739</v>
      </c>
      <c r="B392" s="1" t="str">
        <f t="shared" si="6"/>
        <v>02406911202</v>
      </c>
      <c r="C392" s="1" t="s">
        <v>13</v>
      </c>
      <c r="D392" s="1" t="s">
        <v>177</v>
      </c>
      <c r="E392" s="1" t="s">
        <v>584</v>
      </c>
      <c r="F392" s="1" t="s">
        <v>158</v>
      </c>
      <c r="G392" s="1" t="str">
        <f>"00329450373"</f>
        <v>00329450373</v>
      </c>
      <c r="I392" s="1" t="s">
        <v>585</v>
      </c>
      <c r="L392" s="1" t="s">
        <v>43</v>
      </c>
      <c r="M392" s="1">
        <v>6115500</v>
      </c>
      <c r="AG392" s="1">
        <v>1409162.67</v>
      </c>
      <c r="AH392" s="2">
        <v>45108</v>
      </c>
      <c r="AI392" s="2">
        <v>45657</v>
      </c>
      <c r="AJ392" s="2">
        <v>45108</v>
      </c>
    </row>
    <row r="393" spans="1:36">
      <c r="A393" s="1" t="str">
        <f>"Z553BF04C1"</f>
        <v>Z553BF04C1</v>
      </c>
      <c r="B393" s="1" t="str">
        <f t="shared" si="6"/>
        <v>02406911202</v>
      </c>
      <c r="C393" s="1" t="s">
        <v>13</v>
      </c>
      <c r="D393" s="1" t="s">
        <v>177</v>
      </c>
      <c r="E393" s="1" t="s">
        <v>586</v>
      </c>
      <c r="F393" s="1" t="s">
        <v>158</v>
      </c>
      <c r="G393" s="1" t="str">
        <f>"03772490375"</f>
        <v>03772490375</v>
      </c>
      <c r="I393" s="1" t="s">
        <v>243</v>
      </c>
      <c r="L393" s="1" t="s">
        <v>43</v>
      </c>
      <c r="M393" s="1">
        <v>707700</v>
      </c>
      <c r="AG393" s="1">
        <v>154237.37</v>
      </c>
      <c r="AH393" s="2">
        <v>45108</v>
      </c>
      <c r="AI393" s="2">
        <v>45657</v>
      </c>
      <c r="AJ393" s="2">
        <v>45108</v>
      </c>
    </row>
    <row r="394" spans="1:36">
      <c r="A394" s="1" t="str">
        <f>"ZF43BFF7A0"</f>
        <v>ZF43BFF7A0</v>
      </c>
      <c r="B394" s="1" t="str">
        <f t="shared" si="6"/>
        <v>02406911202</v>
      </c>
      <c r="C394" s="1" t="s">
        <v>13</v>
      </c>
      <c r="D394" s="1" t="s">
        <v>177</v>
      </c>
      <c r="E394" s="1" t="s">
        <v>587</v>
      </c>
      <c r="F394" s="1" t="s">
        <v>158</v>
      </c>
      <c r="G394" s="1" t="str">
        <f>"01058260371"</f>
        <v>01058260371</v>
      </c>
      <c r="I394" s="1" t="s">
        <v>588</v>
      </c>
      <c r="L394" s="1" t="s">
        <v>43</v>
      </c>
      <c r="M394" s="1">
        <v>3610500</v>
      </c>
      <c r="AG394" s="1">
        <v>809686.24</v>
      </c>
      <c r="AH394" s="2">
        <v>45108</v>
      </c>
      <c r="AI394" s="2">
        <v>45657</v>
      </c>
      <c r="AJ394" s="2">
        <v>45108</v>
      </c>
    </row>
    <row r="395" spans="1:36">
      <c r="A395" s="1" t="str">
        <f>"9949939569"</f>
        <v>9949939569</v>
      </c>
      <c r="B395" s="1" t="str">
        <f t="shared" si="6"/>
        <v>02406911202</v>
      </c>
      <c r="C395" s="1" t="s">
        <v>13</v>
      </c>
      <c r="D395" s="1" t="s">
        <v>167</v>
      </c>
      <c r="E395" s="1" t="s">
        <v>589</v>
      </c>
      <c r="F395" s="1" t="s">
        <v>151</v>
      </c>
      <c r="G395" s="1" t="str">
        <f>"00674840152"</f>
        <v>00674840152</v>
      </c>
      <c r="I395" s="1" t="s">
        <v>87</v>
      </c>
      <c r="L395" s="1" t="s">
        <v>43</v>
      </c>
      <c r="M395" s="1">
        <v>404119.22</v>
      </c>
      <c r="AG395" s="1">
        <v>6597.69</v>
      </c>
      <c r="AH395" s="2">
        <v>45125</v>
      </c>
      <c r="AI395" s="2">
        <v>46203</v>
      </c>
      <c r="AJ395" s="2">
        <v>45125</v>
      </c>
    </row>
    <row r="396" spans="1:36">
      <c r="A396" s="1" t="str">
        <f>"Z883C0EA1B"</f>
        <v>Z883C0EA1B</v>
      </c>
      <c r="B396" s="1" t="str">
        <f t="shared" si="6"/>
        <v>02406911202</v>
      </c>
      <c r="C396" s="1" t="s">
        <v>13</v>
      </c>
      <c r="D396" s="1" t="s">
        <v>180</v>
      </c>
      <c r="E396" s="1" t="s">
        <v>279</v>
      </c>
      <c r="F396" s="1" t="s">
        <v>158</v>
      </c>
      <c r="G396" s="1" t="str">
        <f>"00695940213"</f>
        <v>00695940213</v>
      </c>
      <c r="I396" s="1" t="s">
        <v>590</v>
      </c>
      <c r="L396" s="1" t="s">
        <v>43</v>
      </c>
      <c r="M396" s="1">
        <v>5000</v>
      </c>
      <c r="AG396" s="1">
        <v>4369.0200000000004</v>
      </c>
      <c r="AH396" s="2">
        <v>45135</v>
      </c>
      <c r="AI396" s="2">
        <v>45291</v>
      </c>
      <c r="AJ396" s="2">
        <v>45135</v>
      </c>
    </row>
    <row r="397" spans="1:36">
      <c r="A397" s="1" t="str">
        <f>"Z623C0B3BE"</f>
        <v>Z623C0B3BE</v>
      </c>
      <c r="B397" s="1" t="str">
        <f t="shared" si="6"/>
        <v>02406911202</v>
      </c>
      <c r="C397" s="1" t="s">
        <v>13</v>
      </c>
      <c r="D397" s="1" t="s">
        <v>180</v>
      </c>
      <c r="E397" s="1" t="s">
        <v>181</v>
      </c>
      <c r="F397" s="1" t="s">
        <v>158</v>
      </c>
      <c r="G397" s="1" t="str">
        <f>"12432150154"</f>
        <v>12432150154</v>
      </c>
      <c r="I397" s="1" t="s">
        <v>591</v>
      </c>
      <c r="L397" s="1" t="s">
        <v>43</v>
      </c>
      <c r="M397" s="1">
        <v>6000</v>
      </c>
      <c r="AG397" s="1">
        <v>3228.39</v>
      </c>
      <c r="AH397" s="2">
        <v>45135</v>
      </c>
      <c r="AI397" s="2">
        <v>45291</v>
      </c>
      <c r="AJ397" s="2">
        <v>45135</v>
      </c>
    </row>
    <row r="398" spans="1:36">
      <c r="A398" s="1" t="str">
        <f>"ZEB3C166D6"</f>
        <v>ZEB3C166D6</v>
      </c>
      <c r="B398" s="1" t="str">
        <f t="shared" si="6"/>
        <v>02406911202</v>
      </c>
      <c r="C398" s="1" t="s">
        <v>13</v>
      </c>
      <c r="D398" s="1" t="s">
        <v>180</v>
      </c>
      <c r="E398" s="1" t="s">
        <v>220</v>
      </c>
      <c r="F398" s="1" t="s">
        <v>158</v>
      </c>
      <c r="G398" s="1" t="str">
        <f>"11575580151"</f>
        <v>11575580151</v>
      </c>
      <c r="I398" s="1" t="s">
        <v>127</v>
      </c>
      <c r="L398" s="1" t="s">
        <v>43</v>
      </c>
      <c r="M398" s="1">
        <v>6000</v>
      </c>
      <c r="AG398" s="1">
        <v>5736</v>
      </c>
      <c r="AH398" s="2">
        <v>45139</v>
      </c>
      <c r="AI398" s="2">
        <v>45291</v>
      </c>
      <c r="AJ398" s="2">
        <v>45139</v>
      </c>
    </row>
    <row r="399" spans="1:36">
      <c r="A399" s="1" t="str">
        <f>"Z1C3C166EE"</f>
        <v>Z1C3C166EE</v>
      </c>
      <c r="B399" s="1" t="str">
        <f t="shared" si="6"/>
        <v>02406911202</v>
      </c>
      <c r="C399" s="1" t="s">
        <v>13</v>
      </c>
      <c r="D399" s="1" t="s">
        <v>180</v>
      </c>
      <c r="E399" s="1" t="s">
        <v>220</v>
      </c>
      <c r="F399" s="1" t="s">
        <v>158</v>
      </c>
      <c r="G399" s="1" t="str">
        <f>"11575580151"</f>
        <v>11575580151</v>
      </c>
      <c r="I399" s="1" t="s">
        <v>127</v>
      </c>
      <c r="L399" s="1" t="s">
        <v>43</v>
      </c>
      <c r="M399" s="1">
        <v>6000</v>
      </c>
      <c r="AG399" s="1">
        <v>5512.5</v>
      </c>
      <c r="AH399" s="2">
        <v>45139</v>
      </c>
      <c r="AI399" s="2">
        <v>45291</v>
      </c>
      <c r="AJ399" s="2">
        <v>45139</v>
      </c>
    </row>
    <row r="400" spans="1:36">
      <c r="A400" s="1" t="str">
        <f>"Z033C1670E"</f>
        <v>Z033C1670E</v>
      </c>
      <c r="B400" s="1" t="str">
        <f t="shared" si="6"/>
        <v>02406911202</v>
      </c>
      <c r="C400" s="1" t="s">
        <v>13</v>
      </c>
      <c r="D400" s="1" t="s">
        <v>180</v>
      </c>
      <c r="E400" s="1" t="s">
        <v>220</v>
      </c>
      <c r="F400" s="1" t="s">
        <v>158</v>
      </c>
      <c r="G400" s="1" t="str">
        <f>"11575580151"</f>
        <v>11575580151</v>
      </c>
      <c r="I400" s="1" t="s">
        <v>127</v>
      </c>
      <c r="L400" s="1" t="s">
        <v>43</v>
      </c>
      <c r="M400" s="1">
        <v>6000</v>
      </c>
      <c r="AG400" s="1">
        <v>5400</v>
      </c>
      <c r="AH400" s="2">
        <v>45139</v>
      </c>
      <c r="AI400" s="2">
        <v>45291</v>
      </c>
      <c r="AJ400" s="2">
        <v>45139</v>
      </c>
    </row>
    <row r="401" spans="1:36">
      <c r="A401" s="1" t="str">
        <f>"ZC93C1667F"</f>
        <v>ZC93C1667F</v>
      </c>
      <c r="B401" s="1" t="str">
        <f t="shared" si="6"/>
        <v>02406911202</v>
      </c>
      <c r="C401" s="1" t="s">
        <v>13</v>
      </c>
      <c r="D401" s="1" t="s">
        <v>177</v>
      </c>
      <c r="E401" s="1" t="s">
        <v>592</v>
      </c>
      <c r="F401" s="1" t="s">
        <v>158</v>
      </c>
      <c r="G401" s="1" t="str">
        <f>"91362080375"</f>
        <v>91362080375</v>
      </c>
      <c r="I401" s="1" t="s">
        <v>571</v>
      </c>
      <c r="L401" s="1" t="s">
        <v>43</v>
      </c>
      <c r="M401" s="1">
        <v>1050147</v>
      </c>
      <c r="AG401" s="1">
        <v>62626.2</v>
      </c>
      <c r="AH401" s="2">
        <v>45108</v>
      </c>
      <c r="AI401" s="2">
        <v>45657</v>
      </c>
      <c r="AJ401" s="2">
        <v>45108</v>
      </c>
    </row>
    <row r="402" spans="1:36">
      <c r="A402" s="1" t="str">
        <f>"Z493BFF79E"</f>
        <v>Z493BFF79E</v>
      </c>
      <c r="B402" s="1" t="str">
        <f t="shared" si="6"/>
        <v>02406911202</v>
      </c>
      <c r="C402" s="1" t="s">
        <v>13</v>
      </c>
      <c r="D402" s="1" t="s">
        <v>186</v>
      </c>
      <c r="E402" s="1" t="s">
        <v>593</v>
      </c>
      <c r="F402" s="1" t="s">
        <v>158</v>
      </c>
      <c r="G402" s="1" t="str">
        <f>"02895130363"</f>
        <v>02895130363</v>
      </c>
      <c r="I402" s="1" t="s">
        <v>594</v>
      </c>
      <c r="L402" s="1" t="s">
        <v>43</v>
      </c>
      <c r="M402" s="1">
        <v>8000</v>
      </c>
      <c r="AG402" s="1">
        <v>7780</v>
      </c>
      <c r="AH402" s="2">
        <v>45140</v>
      </c>
      <c r="AI402" s="2">
        <v>45291</v>
      </c>
      <c r="AJ402" s="2">
        <v>45140</v>
      </c>
    </row>
    <row r="403" spans="1:36">
      <c r="A403" s="1" t="str">
        <f>"9978594444"</f>
        <v>9978594444</v>
      </c>
      <c r="B403" s="1" t="str">
        <f t="shared" si="6"/>
        <v>02406911202</v>
      </c>
      <c r="C403" s="1" t="s">
        <v>13</v>
      </c>
      <c r="D403" s="1" t="s">
        <v>167</v>
      </c>
      <c r="E403" s="1" t="s">
        <v>595</v>
      </c>
      <c r="F403" s="1" t="s">
        <v>39</v>
      </c>
      <c r="G403" s="1" t="str">
        <f>"00623810371"</f>
        <v>00623810371</v>
      </c>
      <c r="I403" s="1" t="s">
        <v>387</v>
      </c>
      <c r="L403" s="1" t="s">
        <v>43</v>
      </c>
      <c r="M403" s="1">
        <v>22496</v>
      </c>
      <c r="AG403" s="1">
        <v>9191.57</v>
      </c>
      <c r="AH403" s="2">
        <v>45146</v>
      </c>
      <c r="AI403" s="2">
        <v>45511</v>
      </c>
      <c r="AJ403" s="2">
        <v>45146</v>
      </c>
    </row>
    <row r="404" spans="1:36">
      <c r="A404" s="1" t="str">
        <f>"Z8A3C014E7"</f>
        <v>Z8A3C014E7</v>
      </c>
      <c r="B404" s="1" t="str">
        <f t="shared" si="6"/>
        <v>02406911202</v>
      </c>
      <c r="C404" s="1" t="s">
        <v>13</v>
      </c>
      <c r="D404" s="1" t="s">
        <v>186</v>
      </c>
      <c r="E404" s="1" t="s">
        <v>353</v>
      </c>
      <c r="F404" s="1" t="s">
        <v>158</v>
      </c>
      <c r="G404" s="1" t="str">
        <f>"01991051200"</f>
        <v>01991051200</v>
      </c>
      <c r="I404" s="1" t="s">
        <v>596</v>
      </c>
      <c r="L404" s="1" t="s">
        <v>43</v>
      </c>
      <c r="M404" s="1">
        <v>602</v>
      </c>
      <c r="AG404" s="1">
        <v>602</v>
      </c>
      <c r="AH404" s="2">
        <v>45108</v>
      </c>
      <c r="AI404" s="2">
        <v>45138</v>
      </c>
      <c r="AJ404" s="2">
        <v>45108</v>
      </c>
    </row>
    <row r="405" spans="1:36">
      <c r="A405" s="1" t="str">
        <f>"Z223C0FCB2"</f>
        <v>Z223C0FCB2</v>
      </c>
      <c r="B405" s="1" t="str">
        <f t="shared" si="6"/>
        <v>02406911202</v>
      </c>
      <c r="C405" s="1" t="s">
        <v>13</v>
      </c>
      <c r="D405" s="1" t="s">
        <v>186</v>
      </c>
      <c r="E405" s="1" t="s">
        <v>597</v>
      </c>
      <c r="F405" s="1" t="s">
        <v>158</v>
      </c>
      <c r="G405" s="1" t="str">
        <f>"01597140282"</f>
        <v>01597140282</v>
      </c>
      <c r="I405" s="1" t="s">
        <v>598</v>
      </c>
      <c r="L405" s="1" t="s">
        <v>43</v>
      </c>
      <c r="M405" s="1">
        <v>4999</v>
      </c>
      <c r="AG405" s="1">
        <v>4470</v>
      </c>
      <c r="AH405" s="2">
        <v>45135</v>
      </c>
      <c r="AI405" s="2">
        <v>45291</v>
      </c>
      <c r="AJ405" s="2">
        <v>45135</v>
      </c>
    </row>
    <row r="406" spans="1:36">
      <c r="A406" s="1" t="str">
        <f>"Z7D3C14E17"</f>
        <v>Z7D3C14E17</v>
      </c>
      <c r="B406" s="1" t="str">
        <f t="shared" si="6"/>
        <v>02406911202</v>
      </c>
      <c r="C406" s="1" t="s">
        <v>13</v>
      </c>
      <c r="D406" s="1" t="s">
        <v>177</v>
      </c>
      <c r="E406" s="1" t="s">
        <v>599</v>
      </c>
      <c r="F406" s="1" t="s">
        <v>158</v>
      </c>
      <c r="G406" s="1" t="str">
        <f>"02486641208"</f>
        <v>02486641208</v>
      </c>
      <c r="I406" s="1" t="s">
        <v>194</v>
      </c>
      <c r="L406" s="1" t="s">
        <v>43</v>
      </c>
      <c r="M406" s="1">
        <v>1365836</v>
      </c>
      <c r="AG406" s="1">
        <v>80388.759999999995</v>
      </c>
      <c r="AH406" s="2">
        <v>45108</v>
      </c>
      <c r="AI406" s="2">
        <v>45657</v>
      </c>
      <c r="AJ406" s="2">
        <v>45108</v>
      </c>
    </row>
    <row r="407" spans="1:36">
      <c r="A407" s="1" t="str">
        <f>"Z273C16FC7"</f>
        <v>Z273C16FC7</v>
      </c>
      <c r="B407" s="1" t="str">
        <f t="shared" si="6"/>
        <v>02406911202</v>
      </c>
      <c r="C407" s="1" t="s">
        <v>13</v>
      </c>
      <c r="D407" s="1" t="s">
        <v>186</v>
      </c>
      <c r="E407" s="1" t="s">
        <v>600</v>
      </c>
      <c r="F407" s="1" t="s">
        <v>158</v>
      </c>
      <c r="G407" s="1" t="str">
        <f>"00674840152"</f>
        <v>00674840152</v>
      </c>
      <c r="I407" s="1" t="s">
        <v>87</v>
      </c>
      <c r="L407" s="1" t="s">
        <v>43</v>
      </c>
      <c r="M407" s="1">
        <v>4999</v>
      </c>
      <c r="AG407" s="1">
        <v>921.02</v>
      </c>
      <c r="AH407" s="2">
        <v>45139</v>
      </c>
      <c r="AI407" s="2">
        <v>45657</v>
      </c>
      <c r="AJ407" s="2">
        <v>45139</v>
      </c>
    </row>
    <row r="408" spans="1:36">
      <c r="A408" s="1" t="str">
        <f>"9952178D15"</f>
        <v>9952178D15</v>
      </c>
      <c r="B408" s="1" t="str">
        <f t="shared" si="6"/>
        <v>02406911202</v>
      </c>
      <c r="C408" s="1" t="s">
        <v>13</v>
      </c>
      <c r="D408" s="1" t="s">
        <v>167</v>
      </c>
      <c r="E408" s="1" t="s">
        <v>601</v>
      </c>
      <c r="F408" s="1" t="s">
        <v>39</v>
      </c>
      <c r="G408" s="1" t="str">
        <f>"03524050238"</f>
        <v>03524050238</v>
      </c>
      <c r="I408" s="1" t="s">
        <v>171</v>
      </c>
      <c r="L408" s="1" t="s">
        <v>43</v>
      </c>
      <c r="M408" s="1">
        <v>115482.94</v>
      </c>
      <c r="AG408" s="1">
        <v>39024</v>
      </c>
      <c r="AH408" s="2">
        <v>45119</v>
      </c>
      <c r="AI408" s="2">
        <v>45565</v>
      </c>
      <c r="AJ408" s="2">
        <v>45119</v>
      </c>
    </row>
    <row r="409" spans="1:36">
      <c r="A409" s="1" t="str">
        <f>"Z2C3BEF3D2"</f>
        <v>Z2C3BEF3D2</v>
      </c>
      <c r="B409" s="1" t="str">
        <f t="shared" si="6"/>
        <v>02406911202</v>
      </c>
      <c r="C409" s="1" t="s">
        <v>13</v>
      </c>
      <c r="D409" s="1" t="s">
        <v>167</v>
      </c>
      <c r="E409" s="1" t="s">
        <v>602</v>
      </c>
      <c r="F409" s="1" t="s">
        <v>151</v>
      </c>
      <c r="G409" s="1" t="str">
        <f>"02079181208"</f>
        <v>02079181208</v>
      </c>
      <c r="I409" s="1" t="s">
        <v>71</v>
      </c>
      <c r="L409" s="1" t="s">
        <v>43</v>
      </c>
      <c r="M409" s="1">
        <v>11480</v>
      </c>
      <c r="AG409" s="1">
        <v>0</v>
      </c>
      <c r="AH409" s="2">
        <v>45132</v>
      </c>
      <c r="AI409" s="2">
        <v>45862</v>
      </c>
      <c r="AJ409" s="2">
        <v>45132</v>
      </c>
    </row>
    <row r="410" spans="1:36">
      <c r="A410" s="1" t="str">
        <f>"Z023BEF444"</f>
        <v>Z023BEF444</v>
      </c>
      <c r="B410" s="1" t="str">
        <f t="shared" si="6"/>
        <v>02406911202</v>
      </c>
      <c r="C410" s="1" t="s">
        <v>13</v>
      </c>
      <c r="D410" s="1" t="s">
        <v>167</v>
      </c>
      <c r="E410" s="1" t="s">
        <v>603</v>
      </c>
      <c r="F410" s="1" t="s">
        <v>151</v>
      </c>
      <c r="G410" s="1" t="str">
        <f>"04717080966"</f>
        <v>04717080966</v>
      </c>
      <c r="I410" s="1" t="s">
        <v>75</v>
      </c>
      <c r="L410" s="1" t="s">
        <v>43</v>
      </c>
      <c r="M410" s="1">
        <v>9200</v>
      </c>
      <c r="AG410" s="1">
        <v>0</v>
      </c>
      <c r="AH410" s="2">
        <v>45132</v>
      </c>
      <c r="AI410" s="2">
        <v>45862</v>
      </c>
      <c r="AJ410" s="2">
        <v>45132</v>
      </c>
    </row>
    <row r="411" spans="1:36">
      <c r="A411" s="1" t="str">
        <f>"Z983BEF47F"</f>
        <v>Z983BEF47F</v>
      </c>
      <c r="B411" s="1" t="str">
        <f t="shared" si="6"/>
        <v>02406911202</v>
      </c>
      <c r="C411" s="1" t="s">
        <v>13</v>
      </c>
      <c r="D411" s="1" t="s">
        <v>167</v>
      </c>
      <c r="E411" s="1" t="s">
        <v>604</v>
      </c>
      <c r="F411" s="1" t="s">
        <v>151</v>
      </c>
      <c r="G411" s="1" t="str">
        <f>"04717080966"</f>
        <v>04717080966</v>
      </c>
      <c r="I411" s="1" t="s">
        <v>75</v>
      </c>
      <c r="L411" s="1" t="s">
        <v>43</v>
      </c>
      <c r="M411" s="1">
        <v>380</v>
      </c>
      <c r="AG411" s="1">
        <v>0</v>
      </c>
      <c r="AH411" s="2">
        <v>45132</v>
      </c>
      <c r="AI411" s="2">
        <v>45862</v>
      </c>
      <c r="AJ411" s="2">
        <v>45132</v>
      </c>
    </row>
    <row r="412" spans="1:36">
      <c r="A412" s="1" t="str">
        <f>"9952954D75"</f>
        <v>9952954D75</v>
      </c>
      <c r="B412" s="1" t="str">
        <f t="shared" si="6"/>
        <v>02406911202</v>
      </c>
      <c r="C412" s="1" t="s">
        <v>13</v>
      </c>
      <c r="D412" s="1" t="s">
        <v>167</v>
      </c>
      <c r="E412" s="1" t="s">
        <v>605</v>
      </c>
      <c r="F412" s="1" t="s">
        <v>151</v>
      </c>
      <c r="G412" s="1" t="str">
        <f>"00492340583"</f>
        <v>00492340583</v>
      </c>
      <c r="I412" s="1" t="s">
        <v>56</v>
      </c>
      <c r="L412" s="1" t="s">
        <v>43</v>
      </c>
      <c r="M412" s="1">
        <v>911674.39</v>
      </c>
      <c r="AG412" s="1">
        <v>51703.12</v>
      </c>
      <c r="AH412" s="2">
        <v>45125</v>
      </c>
      <c r="AI412" s="2">
        <v>46203</v>
      </c>
      <c r="AJ412" s="2">
        <v>45125</v>
      </c>
    </row>
    <row r="413" spans="1:36">
      <c r="A413" s="1" t="str">
        <f>"Z5C3BFAF48"</f>
        <v>Z5C3BFAF48</v>
      </c>
      <c r="B413" s="1" t="str">
        <f t="shared" si="6"/>
        <v>02406911202</v>
      </c>
      <c r="C413" s="1" t="s">
        <v>13</v>
      </c>
      <c r="D413" s="1" t="s">
        <v>180</v>
      </c>
      <c r="E413" s="1" t="s">
        <v>279</v>
      </c>
      <c r="F413" s="1" t="s">
        <v>158</v>
      </c>
      <c r="G413" s="1" t="str">
        <f>"10181220152"</f>
        <v>10181220152</v>
      </c>
      <c r="I413" s="1" t="s">
        <v>301</v>
      </c>
      <c r="L413" s="1" t="s">
        <v>43</v>
      </c>
      <c r="M413" s="1">
        <v>16800</v>
      </c>
      <c r="AG413" s="1">
        <v>16800</v>
      </c>
      <c r="AH413" s="2">
        <v>45128</v>
      </c>
      <c r="AI413" s="2">
        <v>45291</v>
      </c>
      <c r="AJ413" s="2">
        <v>45128</v>
      </c>
    </row>
    <row r="414" spans="1:36">
      <c r="A414" s="1" t="str">
        <f>"Z413BF15EA"</f>
        <v>Z413BF15EA</v>
      </c>
      <c r="B414" s="1" t="str">
        <f t="shared" si="6"/>
        <v>02406911202</v>
      </c>
      <c r="C414" s="1" t="s">
        <v>13</v>
      </c>
      <c r="D414" s="1" t="s">
        <v>164</v>
      </c>
      <c r="E414" s="1" t="s">
        <v>606</v>
      </c>
      <c r="F414" s="1" t="s">
        <v>158</v>
      </c>
      <c r="G414" s="1" t="str">
        <f>"02376321200"</f>
        <v>02376321200</v>
      </c>
      <c r="I414" s="1" t="s">
        <v>376</v>
      </c>
      <c r="L414" s="1" t="s">
        <v>43</v>
      </c>
      <c r="M414" s="1">
        <v>550</v>
      </c>
      <c r="AG414" s="1">
        <v>550</v>
      </c>
      <c r="AH414" s="2">
        <v>45132</v>
      </c>
      <c r="AI414" s="2">
        <v>45291</v>
      </c>
      <c r="AJ414" s="2">
        <v>45132</v>
      </c>
    </row>
    <row r="415" spans="1:36">
      <c r="A415" s="1" t="str">
        <f>"ZF83C028BF"</f>
        <v>ZF83C028BF</v>
      </c>
      <c r="B415" s="1" t="str">
        <f t="shared" si="6"/>
        <v>02406911202</v>
      </c>
      <c r="C415" s="1" t="s">
        <v>13</v>
      </c>
      <c r="D415" s="1" t="s">
        <v>186</v>
      </c>
      <c r="E415" s="1" t="s">
        <v>607</v>
      </c>
      <c r="F415" s="1" t="s">
        <v>158</v>
      </c>
      <c r="G415" s="1" t="str">
        <f>"04969470154"</f>
        <v>04969470154</v>
      </c>
      <c r="I415" s="1" t="s">
        <v>608</v>
      </c>
      <c r="L415" s="1" t="s">
        <v>43</v>
      </c>
      <c r="M415" s="1">
        <v>4999</v>
      </c>
      <c r="AG415" s="1">
        <v>906.5</v>
      </c>
      <c r="AH415" s="2">
        <v>45132</v>
      </c>
      <c r="AI415" s="2">
        <v>46022</v>
      </c>
      <c r="AJ415" s="2">
        <v>45132</v>
      </c>
    </row>
    <row r="416" spans="1:36">
      <c r="A416" s="1" t="str">
        <f>"Z453BF3272"</f>
        <v>Z453BF3272</v>
      </c>
      <c r="B416" s="1" t="str">
        <f t="shared" si="6"/>
        <v>02406911202</v>
      </c>
      <c r="C416" s="1" t="s">
        <v>13</v>
      </c>
      <c r="D416" s="1" t="s">
        <v>164</v>
      </c>
      <c r="E416" s="1" t="s">
        <v>609</v>
      </c>
      <c r="F416" s="1" t="s">
        <v>158</v>
      </c>
      <c r="G416" s="1" t="str">
        <f>"02313821007"</f>
        <v>02313821007</v>
      </c>
      <c r="I416" s="1" t="s">
        <v>610</v>
      </c>
      <c r="L416" s="1" t="s">
        <v>43</v>
      </c>
      <c r="M416" s="1">
        <v>2220</v>
      </c>
      <c r="AG416" s="1">
        <v>0</v>
      </c>
      <c r="AH416" s="2">
        <v>45126</v>
      </c>
      <c r="AI416" s="2">
        <v>45500</v>
      </c>
      <c r="AJ416" s="2">
        <v>45126</v>
      </c>
    </row>
    <row r="417" spans="1:36">
      <c r="A417" s="1" t="str">
        <f>"ZAB3BEF4B7"</f>
        <v>ZAB3BEF4B7</v>
      </c>
      <c r="B417" s="1" t="str">
        <f t="shared" si="6"/>
        <v>02406911202</v>
      </c>
      <c r="C417" s="1" t="s">
        <v>13</v>
      </c>
      <c r="D417" s="1" t="s">
        <v>167</v>
      </c>
      <c r="E417" s="1" t="s">
        <v>611</v>
      </c>
      <c r="F417" s="1" t="s">
        <v>151</v>
      </c>
      <c r="G417" s="1" t="str">
        <f>"04717080966"</f>
        <v>04717080966</v>
      </c>
      <c r="I417" s="1" t="s">
        <v>75</v>
      </c>
      <c r="L417" s="1" t="s">
        <v>43</v>
      </c>
      <c r="M417" s="1">
        <v>420</v>
      </c>
      <c r="AG417" s="1">
        <v>0</v>
      </c>
      <c r="AH417" s="2">
        <v>45132</v>
      </c>
      <c r="AI417" s="2">
        <v>45862</v>
      </c>
      <c r="AJ417" s="2">
        <v>45132</v>
      </c>
    </row>
    <row r="418" spans="1:36">
      <c r="A418" s="1" t="str">
        <f>"ZB33BEF4E9"</f>
        <v>ZB33BEF4E9</v>
      </c>
      <c r="B418" s="1" t="str">
        <f t="shared" si="6"/>
        <v>02406911202</v>
      </c>
      <c r="C418" s="1" t="s">
        <v>13</v>
      </c>
      <c r="D418" s="1" t="s">
        <v>167</v>
      </c>
      <c r="E418" s="1" t="s">
        <v>612</v>
      </c>
      <c r="F418" s="1" t="s">
        <v>151</v>
      </c>
      <c r="G418" s="1" t="str">
        <f>"02079181208"</f>
        <v>02079181208</v>
      </c>
      <c r="I418" s="1" t="s">
        <v>71</v>
      </c>
      <c r="L418" s="1" t="s">
        <v>43</v>
      </c>
      <c r="M418" s="1">
        <v>1000</v>
      </c>
      <c r="AG418" s="1">
        <v>0</v>
      </c>
      <c r="AH418" s="2">
        <v>45132</v>
      </c>
      <c r="AI418" s="2">
        <v>45862</v>
      </c>
      <c r="AJ418" s="2">
        <v>45132</v>
      </c>
    </row>
    <row r="419" spans="1:36">
      <c r="A419" s="1" t="str">
        <f>"Z6B3C1C6BD"</f>
        <v>Z6B3C1C6BD</v>
      </c>
      <c r="B419" s="1" t="str">
        <f t="shared" si="6"/>
        <v>02406911202</v>
      </c>
      <c r="C419" s="1" t="s">
        <v>13</v>
      </c>
      <c r="D419" s="1" t="s">
        <v>180</v>
      </c>
      <c r="E419" s="1" t="s">
        <v>181</v>
      </c>
      <c r="F419" s="1" t="s">
        <v>158</v>
      </c>
      <c r="G419" s="1" t="str">
        <f>"00795170158"</f>
        <v>00795170158</v>
      </c>
      <c r="I419" s="1" t="s">
        <v>613</v>
      </c>
      <c r="L419" s="1" t="s">
        <v>43</v>
      </c>
      <c r="M419" s="1">
        <v>5000</v>
      </c>
      <c r="AG419" s="1">
        <v>534.70000000000005</v>
      </c>
      <c r="AH419" s="2">
        <v>45141</v>
      </c>
      <c r="AI419" s="2">
        <v>45291</v>
      </c>
      <c r="AJ419" s="2">
        <v>45141</v>
      </c>
    </row>
    <row r="420" spans="1:36">
      <c r="A420" s="1" t="str">
        <f>"Z613C1D4B6"</f>
        <v>Z613C1D4B6</v>
      </c>
      <c r="B420" s="1" t="str">
        <f t="shared" si="6"/>
        <v>02406911202</v>
      </c>
      <c r="C420" s="1" t="s">
        <v>13</v>
      </c>
      <c r="D420" s="1" t="s">
        <v>180</v>
      </c>
      <c r="E420" s="1" t="s">
        <v>181</v>
      </c>
      <c r="F420" s="1" t="s">
        <v>158</v>
      </c>
      <c r="G420" s="1" t="str">
        <f>"00962280590"</f>
        <v>00962280590</v>
      </c>
      <c r="I420" s="1" t="s">
        <v>42</v>
      </c>
      <c r="L420" s="1" t="s">
        <v>43</v>
      </c>
      <c r="M420" s="1">
        <v>6000</v>
      </c>
      <c r="AG420" s="1">
        <v>4956.42</v>
      </c>
      <c r="AH420" s="2">
        <v>45141</v>
      </c>
      <c r="AI420" s="2">
        <v>45291</v>
      </c>
      <c r="AJ420" s="2">
        <v>45141</v>
      </c>
    </row>
    <row r="421" spans="1:36">
      <c r="A421" s="1" t="str">
        <f>"Z4D3C249E1"</f>
        <v>Z4D3C249E1</v>
      </c>
      <c r="B421" s="1" t="str">
        <f t="shared" si="6"/>
        <v>02406911202</v>
      </c>
      <c r="C421" s="1" t="s">
        <v>13</v>
      </c>
      <c r="D421" s="1" t="s">
        <v>186</v>
      </c>
      <c r="E421" s="1" t="s">
        <v>614</v>
      </c>
      <c r="F421" s="1" t="s">
        <v>158</v>
      </c>
      <c r="G421" s="1" t="str">
        <f>"02027040019"</f>
        <v>02027040019</v>
      </c>
      <c r="I421" s="1" t="s">
        <v>615</v>
      </c>
      <c r="L421" s="1" t="s">
        <v>43</v>
      </c>
      <c r="M421" s="1">
        <v>4990</v>
      </c>
      <c r="AG421" s="1">
        <v>4924.7700000000004</v>
      </c>
      <c r="AH421" s="2">
        <v>45145</v>
      </c>
      <c r="AI421" s="2">
        <v>45291</v>
      </c>
      <c r="AJ421" s="2">
        <v>45145</v>
      </c>
    </row>
    <row r="422" spans="1:36">
      <c r="A422" s="1" t="str">
        <f>"Z613C2CFB6"</f>
        <v>Z613C2CFB6</v>
      </c>
      <c r="B422" s="1" t="str">
        <f t="shared" si="6"/>
        <v>02406911202</v>
      </c>
      <c r="C422" s="1" t="s">
        <v>13</v>
      </c>
      <c r="D422" s="1" t="s">
        <v>264</v>
      </c>
      <c r="E422" s="1" t="s">
        <v>616</v>
      </c>
      <c r="F422" s="1" t="s">
        <v>158</v>
      </c>
      <c r="G422" s="1" t="str">
        <f>"12785290151"</f>
        <v>12785290151</v>
      </c>
      <c r="I422" s="1" t="s">
        <v>284</v>
      </c>
      <c r="L422" s="1" t="s">
        <v>43</v>
      </c>
      <c r="M422" s="1">
        <v>10000</v>
      </c>
      <c r="AG422" s="1">
        <v>2860.41</v>
      </c>
      <c r="AH422" s="2">
        <v>45148</v>
      </c>
      <c r="AI422" s="2">
        <v>45291</v>
      </c>
      <c r="AJ422" s="2">
        <v>45148</v>
      </c>
    </row>
    <row r="423" spans="1:36">
      <c r="A423" s="1" t="str">
        <f>"Z6E3C35E71"</f>
        <v>Z6E3C35E71</v>
      </c>
      <c r="B423" s="1" t="str">
        <f t="shared" si="6"/>
        <v>02406911202</v>
      </c>
      <c r="C423" s="1" t="s">
        <v>13</v>
      </c>
      <c r="D423" s="1" t="s">
        <v>180</v>
      </c>
      <c r="E423" s="1" t="s">
        <v>296</v>
      </c>
      <c r="F423" s="1" t="s">
        <v>158</v>
      </c>
      <c r="G423" s="1" t="str">
        <f>"11575580151"</f>
        <v>11575580151</v>
      </c>
      <c r="I423" s="1" t="s">
        <v>127</v>
      </c>
      <c r="L423" s="1" t="s">
        <v>43</v>
      </c>
      <c r="M423" s="1">
        <v>6000</v>
      </c>
      <c r="AG423" s="1">
        <v>5400</v>
      </c>
      <c r="AH423" s="2">
        <v>45156</v>
      </c>
      <c r="AI423" s="2">
        <v>45291</v>
      </c>
      <c r="AJ423" s="2">
        <v>45156</v>
      </c>
    </row>
    <row r="424" spans="1:36">
      <c r="A424" s="1" t="str">
        <f>"ZDF3C35E81"</f>
        <v>ZDF3C35E81</v>
      </c>
      <c r="B424" s="1" t="str">
        <f t="shared" si="6"/>
        <v>02406911202</v>
      </c>
      <c r="C424" s="1" t="s">
        <v>13</v>
      </c>
      <c r="D424" s="1" t="s">
        <v>180</v>
      </c>
      <c r="E424" s="1" t="s">
        <v>296</v>
      </c>
      <c r="F424" s="1" t="s">
        <v>158</v>
      </c>
      <c r="G424" s="1" t="str">
        <f>"11575580151"</f>
        <v>11575580151</v>
      </c>
      <c r="I424" s="1" t="s">
        <v>127</v>
      </c>
      <c r="L424" s="1" t="s">
        <v>43</v>
      </c>
      <c r="M424" s="1">
        <v>6000</v>
      </c>
      <c r="AG424" s="1">
        <v>5400</v>
      </c>
      <c r="AH424" s="2">
        <v>45156</v>
      </c>
      <c r="AI424" s="2">
        <v>45291</v>
      </c>
      <c r="AJ424" s="2">
        <v>45156</v>
      </c>
    </row>
    <row r="425" spans="1:36">
      <c r="A425" s="1" t="str">
        <f>"Z503C372CA"</f>
        <v>Z503C372CA</v>
      </c>
      <c r="B425" s="1" t="str">
        <f t="shared" si="6"/>
        <v>02406911202</v>
      </c>
      <c r="C425" s="1" t="s">
        <v>13</v>
      </c>
      <c r="D425" s="1" t="s">
        <v>186</v>
      </c>
      <c r="E425" s="1" t="s">
        <v>617</v>
      </c>
      <c r="F425" s="1" t="s">
        <v>158</v>
      </c>
      <c r="G425" s="1" t="str">
        <f>"04015790407"</f>
        <v>04015790407</v>
      </c>
      <c r="I425" s="1" t="s">
        <v>618</v>
      </c>
      <c r="L425" s="1" t="s">
        <v>43</v>
      </c>
      <c r="M425" s="1">
        <v>4999</v>
      </c>
      <c r="AG425" s="1">
        <v>1530</v>
      </c>
      <c r="AH425" s="2">
        <v>45156</v>
      </c>
      <c r="AI425" s="2">
        <v>45322</v>
      </c>
      <c r="AJ425" s="2">
        <v>45156</v>
      </c>
    </row>
    <row r="426" spans="1:36">
      <c r="A426" s="1" t="str">
        <f>"ZA43BFA641"</f>
        <v>ZA43BFA641</v>
      </c>
      <c r="B426" s="1" t="str">
        <f t="shared" si="6"/>
        <v>02406911202</v>
      </c>
      <c r="C426" s="1" t="s">
        <v>13</v>
      </c>
      <c r="D426" s="1" t="s">
        <v>167</v>
      </c>
      <c r="E426" s="1" t="s">
        <v>619</v>
      </c>
      <c r="F426" s="1" t="s">
        <v>151</v>
      </c>
      <c r="G426" s="1" t="str">
        <f>"02642020156"</f>
        <v>02642020156</v>
      </c>
      <c r="I426" s="1" t="s">
        <v>620</v>
      </c>
      <c r="L426" s="1" t="s">
        <v>43</v>
      </c>
      <c r="M426" s="1">
        <v>26515.48</v>
      </c>
      <c r="AG426" s="1">
        <v>4100</v>
      </c>
      <c r="AH426" s="2">
        <v>45131</v>
      </c>
      <c r="AI426" s="2">
        <v>46022</v>
      </c>
      <c r="AJ426" s="2">
        <v>45131</v>
      </c>
    </row>
    <row r="427" spans="1:36">
      <c r="A427" s="1" t="str">
        <f>"Z783C02A86"</f>
        <v>Z783C02A86</v>
      </c>
      <c r="B427" s="1" t="str">
        <f t="shared" si="6"/>
        <v>02406911202</v>
      </c>
      <c r="C427" s="1" t="s">
        <v>13</v>
      </c>
      <c r="D427" s="1" t="s">
        <v>264</v>
      </c>
      <c r="E427" s="1" t="s">
        <v>621</v>
      </c>
      <c r="F427" s="1" t="s">
        <v>158</v>
      </c>
      <c r="G427" s="1" t="str">
        <f>"01783800152"</f>
        <v>01783800152</v>
      </c>
      <c r="I427" s="1" t="s">
        <v>622</v>
      </c>
      <c r="L427" s="1" t="s">
        <v>43</v>
      </c>
      <c r="M427" s="1">
        <v>200</v>
      </c>
      <c r="AG427" s="1">
        <v>39.96</v>
      </c>
      <c r="AH427" s="2">
        <v>45132</v>
      </c>
      <c r="AI427" s="2">
        <v>45291</v>
      </c>
      <c r="AJ427" s="2">
        <v>45132</v>
      </c>
    </row>
    <row r="428" spans="1:36">
      <c r="A428" s="1" t="str">
        <f>"Z3B3BFA663"</f>
        <v>Z3B3BFA663</v>
      </c>
      <c r="B428" s="1" t="str">
        <f t="shared" si="6"/>
        <v>02406911202</v>
      </c>
      <c r="C428" s="1" t="s">
        <v>13</v>
      </c>
      <c r="D428" s="1" t="s">
        <v>167</v>
      </c>
      <c r="E428" s="1" t="s">
        <v>623</v>
      </c>
      <c r="F428" s="1" t="s">
        <v>151</v>
      </c>
      <c r="G428" s="1" t="str">
        <f>"01779530466"</f>
        <v>01779530466</v>
      </c>
      <c r="I428" s="1" t="s">
        <v>624</v>
      </c>
      <c r="L428" s="1" t="s">
        <v>43</v>
      </c>
      <c r="M428" s="1">
        <v>27549.81</v>
      </c>
      <c r="AG428" s="1">
        <v>570</v>
      </c>
      <c r="AH428" s="2">
        <v>45131</v>
      </c>
      <c r="AI428" s="2">
        <v>46022</v>
      </c>
      <c r="AJ428" s="2">
        <v>45131</v>
      </c>
    </row>
    <row r="429" spans="1:36">
      <c r="A429" s="1" t="str">
        <f>"Z743C0CE2A"</f>
        <v>Z743C0CE2A</v>
      </c>
      <c r="B429" s="1" t="str">
        <f t="shared" si="6"/>
        <v>02406911202</v>
      </c>
      <c r="C429" s="1" t="s">
        <v>13</v>
      </c>
      <c r="D429" s="1" t="s">
        <v>180</v>
      </c>
      <c r="E429" s="1" t="s">
        <v>281</v>
      </c>
      <c r="F429" s="1" t="s">
        <v>158</v>
      </c>
      <c r="G429" s="1" t="str">
        <f>"08864080158"</f>
        <v>08864080158</v>
      </c>
      <c r="I429" s="1" t="s">
        <v>438</v>
      </c>
      <c r="L429" s="1" t="s">
        <v>43</v>
      </c>
      <c r="M429" s="1">
        <v>6000</v>
      </c>
      <c r="AG429" s="1">
        <v>3185.38</v>
      </c>
      <c r="AH429" s="2">
        <v>45135</v>
      </c>
      <c r="AI429" s="2">
        <v>45291</v>
      </c>
      <c r="AJ429" s="2">
        <v>45135</v>
      </c>
    </row>
    <row r="430" spans="1:36">
      <c r="A430" s="1" t="str">
        <f>"Z853C1418A"</f>
        <v>Z853C1418A</v>
      </c>
      <c r="B430" s="1" t="str">
        <f t="shared" si="6"/>
        <v>02406911202</v>
      </c>
      <c r="C430" s="1" t="s">
        <v>13</v>
      </c>
      <c r="D430" s="1" t="s">
        <v>180</v>
      </c>
      <c r="E430" s="1" t="s">
        <v>296</v>
      </c>
      <c r="F430" s="1" t="s">
        <v>158</v>
      </c>
      <c r="G430" s="1" t="str">
        <f>"01749330047"</f>
        <v>01749330047</v>
      </c>
      <c r="I430" s="1" t="s">
        <v>625</v>
      </c>
      <c r="L430" s="1" t="s">
        <v>43</v>
      </c>
      <c r="M430" s="1">
        <v>5000</v>
      </c>
      <c r="AG430" s="1">
        <v>5950</v>
      </c>
      <c r="AH430" s="2">
        <v>45139</v>
      </c>
      <c r="AI430" s="2">
        <v>45291</v>
      </c>
      <c r="AJ430" s="2">
        <v>45139</v>
      </c>
    </row>
    <row r="431" spans="1:36">
      <c r="A431" s="1" t="str">
        <f>"Z013C184E9"</f>
        <v>Z013C184E9</v>
      </c>
      <c r="B431" s="1" t="str">
        <f t="shared" si="6"/>
        <v>02406911202</v>
      </c>
      <c r="C431" s="1" t="s">
        <v>13</v>
      </c>
      <c r="D431" s="1" t="s">
        <v>180</v>
      </c>
      <c r="E431" s="1" t="s">
        <v>296</v>
      </c>
      <c r="F431" s="1" t="s">
        <v>158</v>
      </c>
      <c r="G431" s="1" t="str">
        <f>"11575580151"</f>
        <v>11575580151</v>
      </c>
      <c r="I431" s="1" t="s">
        <v>127</v>
      </c>
      <c r="L431" s="1" t="s">
        <v>43</v>
      </c>
      <c r="M431" s="1">
        <v>5000</v>
      </c>
      <c r="AG431" s="1">
        <v>5400</v>
      </c>
      <c r="AH431" s="2">
        <v>45140</v>
      </c>
      <c r="AI431" s="2">
        <v>45291</v>
      </c>
      <c r="AJ431" s="2">
        <v>45140</v>
      </c>
    </row>
    <row r="432" spans="1:36">
      <c r="A432" s="1" t="str">
        <f>"Z2D3C185FC"</f>
        <v>Z2D3C185FC</v>
      </c>
      <c r="B432" s="1" t="str">
        <f t="shared" si="6"/>
        <v>02406911202</v>
      </c>
      <c r="C432" s="1" t="s">
        <v>13</v>
      </c>
      <c r="D432" s="1" t="s">
        <v>264</v>
      </c>
      <c r="E432" s="1" t="s">
        <v>626</v>
      </c>
      <c r="F432" s="1" t="s">
        <v>158</v>
      </c>
      <c r="G432" s="1" t="str">
        <f>"05025030288"</f>
        <v>05025030288</v>
      </c>
      <c r="I432" s="1" t="s">
        <v>627</v>
      </c>
      <c r="L432" s="1" t="s">
        <v>43</v>
      </c>
      <c r="M432" s="1">
        <v>4717.5</v>
      </c>
      <c r="AG432" s="1">
        <v>0</v>
      </c>
      <c r="AH432" s="2">
        <v>45140</v>
      </c>
      <c r="AI432" s="2">
        <v>45147</v>
      </c>
      <c r="AJ432" s="2">
        <v>45140</v>
      </c>
    </row>
    <row r="433" spans="1:36">
      <c r="A433" s="1" t="str">
        <f>"97821662C1"</f>
        <v>97821662C1</v>
      </c>
      <c r="B433" s="1" t="str">
        <f t="shared" si="6"/>
        <v>02406911202</v>
      </c>
      <c r="C433" s="1" t="s">
        <v>13</v>
      </c>
      <c r="D433" s="1" t="s">
        <v>167</v>
      </c>
      <c r="E433" s="1" t="s">
        <v>628</v>
      </c>
      <c r="F433" s="1" t="s">
        <v>39</v>
      </c>
      <c r="G433" s="1" t="str">
        <f>"02737030151"</f>
        <v>02737030151</v>
      </c>
      <c r="I433" s="1" t="s">
        <v>629</v>
      </c>
      <c r="L433" s="1" t="s">
        <v>43</v>
      </c>
      <c r="M433" s="1">
        <v>32587.8</v>
      </c>
      <c r="AG433" s="1">
        <v>0</v>
      </c>
      <c r="AH433" s="2">
        <v>45118</v>
      </c>
      <c r="AI433" s="2">
        <v>45848</v>
      </c>
      <c r="AJ433" s="2">
        <v>45118</v>
      </c>
    </row>
    <row r="434" spans="1:36">
      <c r="A434" s="1" t="str">
        <f>"9994932ECC"</f>
        <v>9994932ECC</v>
      </c>
      <c r="B434" s="1" t="str">
        <f t="shared" si="6"/>
        <v>02406911202</v>
      </c>
      <c r="C434" s="1" t="s">
        <v>13</v>
      </c>
      <c r="D434" s="1" t="s">
        <v>167</v>
      </c>
      <c r="E434" s="1" t="s">
        <v>630</v>
      </c>
      <c r="F434" s="1" t="s">
        <v>286</v>
      </c>
      <c r="G434" s="1" t="str">
        <f>"03277950287"</f>
        <v>03277950287</v>
      </c>
      <c r="I434" s="1" t="s">
        <v>631</v>
      </c>
      <c r="L434" s="1" t="s">
        <v>43</v>
      </c>
      <c r="M434" s="1">
        <v>88284</v>
      </c>
      <c r="AG434" s="1">
        <v>0</v>
      </c>
      <c r="AH434" s="2">
        <v>45139</v>
      </c>
      <c r="AI434" s="2">
        <v>46599</v>
      </c>
      <c r="AJ434" s="2">
        <v>45139</v>
      </c>
    </row>
    <row r="435" spans="1:36">
      <c r="A435" s="1" t="str">
        <f>"ZA83C286AF"</f>
        <v>ZA83C286AF</v>
      </c>
      <c r="B435" s="1" t="str">
        <f t="shared" si="6"/>
        <v>02406911202</v>
      </c>
      <c r="C435" s="1" t="s">
        <v>13</v>
      </c>
      <c r="D435" s="1" t="s">
        <v>180</v>
      </c>
      <c r="E435" s="1" t="s">
        <v>281</v>
      </c>
      <c r="F435" s="1" t="s">
        <v>158</v>
      </c>
      <c r="G435" s="1" t="str">
        <f>"07077990013"</f>
        <v>07077990013</v>
      </c>
      <c r="I435" s="1" t="s">
        <v>554</v>
      </c>
      <c r="L435" s="1" t="s">
        <v>43</v>
      </c>
      <c r="M435" s="1">
        <v>6000</v>
      </c>
      <c r="AG435" s="1">
        <v>6902.25</v>
      </c>
      <c r="AH435" s="2">
        <v>45146</v>
      </c>
      <c r="AI435" s="2">
        <v>45291</v>
      </c>
      <c r="AJ435" s="2">
        <v>45146</v>
      </c>
    </row>
    <row r="436" spans="1:36">
      <c r="A436" s="1" t="str">
        <f>"Z0C3C3393E"</f>
        <v>Z0C3C3393E</v>
      </c>
      <c r="B436" s="1" t="str">
        <f t="shared" si="6"/>
        <v>02406911202</v>
      </c>
      <c r="C436" s="1" t="s">
        <v>13</v>
      </c>
      <c r="D436" s="1" t="s">
        <v>180</v>
      </c>
      <c r="E436" s="1" t="s">
        <v>296</v>
      </c>
      <c r="F436" s="1" t="s">
        <v>158</v>
      </c>
      <c r="G436" s="1" t="str">
        <f>"02285440398"</f>
        <v>02285440398</v>
      </c>
      <c r="I436" s="1" t="s">
        <v>356</v>
      </c>
      <c r="L436" s="1" t="s">
        <v>43</v>
      </c>
      <c r="M436" s="1">
        <v>6000</v>
      </c>
      <c r="AG436" s="1">
        <v>5075</v>
      </c>
      <c r="AH436" s="2">
        <v>45154</v>
      </c>
      <c r="AI436" s="2">
        <v>45291</v>
      </c>
      <c r="AJ436" s="2">
        <v>45154</v>
      </c>
    </row>
    <row r="437" spans="1:36">
      <c r="A437" s="1" t="str">
        <f>"Z1A3C36A1E"</f>
        <v>Z1A3C36A1E</v>
      </c>
      <c r="B437" s="1" t="str">
        <f t="shared" si="6"/>
        <v>02406911202</v>
      </c>
      <c r="C437" s="1" t="s">
        <v>13</v>
      </c>
      <c r="D437" s="1" t="s">
        <v>180</v>
      </c>
      <c r="E437" s="1" t="s">
        <v>296</v>
      </c>
      <c r="F437" s="1" t="s">
        <v>158</v>
      </c>
      <c r="G437" s="1" t="str">
        <f>"11575580151"</f>
        <v>11575580151</v>
      </c>
      <c r="I437" s="1" t="s">
        <v>127</v>
      </c>
      <c r="L437" s="1" t="s">
        <v>43</v>
      </c>
      <c r="M437" s="1">
        <v>6000</v>
      </c>
      <c r="AG437" s="1">
        <v>5400</v>
      </c>
      <c r="AH437" s="2">
        <v>45156</v>
      </c>
      <c r="AI437" s="2">
        <v>45291</v>
      </c>
      <c r="AJ437" s="2">
        <v>45156</v>
      </c>
    </row>
    <row r="438" spans="1:36">
      <c r="A438" s="1" t="str">
        <f>"Z4C3C36AD9"</f>
        <v>Z4C3C36AD9</v>
      </c>
      <c r="B438" s="1" t="str">
        <f t="shared" si="6"/>
        <v>02406911202</v>
      </c>
      <c r="C438" s="1" t="s">
        <v>13</v>
      </c>
      <c r="D438" s="1" t="s">
        <v>180</v>
      </c>
      <c r="E438" s="1" t="s">
        <v>296</v>
      </c>
      <c r="F438" s="1" t="s">
        <v>158</v>
      </c>
      <c r="G438" s="1" t="str">
        <f>"00803890151"</f>
        <v>00803890151</v>
      </c>
      <c r="I438" s="1" t="s">
        <v>104</v>
      </c>
      <c r="L438" s="1" t="s">
        <v>43</v>
      </c>
      <c r="M438" s="1">
        <v>6000</v>
      </c>
      <c r="AG438" s="1">
        <v>5789.9</v>
      </c>
      <c r="AH438" s="2">
        <v>45156</v>
      </c>
      <c r="AI438" s="2">
        <v>45291</v>
      </c>
      <c r="AJ438" s="2">
        <v>45156</v>
      </c>
    </row>
    <row r="439" spans="1:36">
      <c r="A439" s="1" t="str">
        <f>"Z013C33742"</f>
        <v>Z013C33742</v>
      </c>
      <c r="B439" s="1" t="str">
        <f t="shared" si="6"/>
        <v>02406911202</v>
      </c>
      <c r="C439" s="1" t="s">
        <v>13</v>
      </c>
      <c r="D439" s="1" t="s">
        <v>167</v>
      </c>
      <c r="E439" s="1" t="s">
        <v>632</v>
      </c>
      <c r="F439" s="1" t="s">
        <v>151</v>
      </c>
      <c r="G439" s="1" t="str">
        <f>"00422760587"</f>
        <v>00422760587</v>
      </c>
      <c r="I439" s="1" t="s">
        <v>94</v>
      </c>
      <c r="L439" s="1" t="s">
        <v>43</v>
      </c>
      <c r="M439" s="1">
        <v>5252.6</v>
      </c>
      <c r="AG439" s="1">
        <v>0</v>
      </c>
      <c r="AH439" s="2">
        <v>45154</v>
      </c>
      <c r="AI439" s="2">
        <v>45565</v>
      </c>
      <c r="AJ439" s="2">
        <v>45154</v>
      </c>
    </row>
    <row r="440" spans="1:36">
      <c r="A440" s="1" t="str">
        <f>"A0051E7755"</f>
        <v>A0051E7755</v>
      </c>
      <c r="B440" s="1" t="str">
        <f t="shared" si="6"/>
        <v>02406911202</v>
      </c>
      <c r="C440" s="1" t="s">
        <v>13</v>
      </c>
      <c r="D440" s="1" t="s">
        <v>167</v>
      </c>
      <c r="E440" s="1" t="s">
        <v>633</v>
      </c>
      <c r="F440" s="1" t="s">
        <v>151</v>
      </c>
      <c r="G440" s="1" t="str">
        <f>"05849130157"</f>
        <v>05849130157</v>
      </c>
      <c r="I440" s="1" t="s">
        <v>634</v>
      </c>
      <c r="L440" s="1" t="s">
        <v>43</v>
      </c>
      <c r="M440" s="1">
        <v>148090</v>
      </c>
      <c r="AG440" s="1">
        <v>99120</v>
      </c>
      <c r="AH440" s="2">
        <v>45154</v>
      </c>
      <c r="AI440" s="2">
        <v>45260</v>
      </c>
      <c r="AJ440" s="2">
        <v>45154</v>
      </c>
    </row>
    <row r="441" spans="1:36">
      <c r="A441" s="1" t="str">
        <f>"Z163C33709"</f>
        <v>Z163C33709</v>
      </c>
      <c r="B441" s="1" t="str">
        <f t="shared" si="6"/>
        <v>02406911202</v>
      </c>
      <c r="C441" s="1" t="s">
        <v>13</v>
      </c>
      <c r="D441" s="1" t="s">
        <v>167</v>
      </c>
      <c r="E441" s="1" t="s">
        <v>635</v>
      </c>
      <c r="F441" s="1" t="s">
        <v>151</v>
      </c>
      <c r="G441" s="1" t="str">
        <f>"05849130157"</f>
        <v>05849130157</v>
      </c>
      <c r="I441" s="1" t="s">
        <v>634</v>
      </c>
      <c r="L441" s="1" t="s">
        <v>43</v>
      </c>
      <c r="M441" s="1">
        <v>3594.5</v>
      </c>
      <c r="AG441" s="1">
        <v>0</v>
      </c>
      <c r="AH441" s="2">
        <v>45154</v>
      </c>
      <c r="AI441" s="2">
        <v>45260</v>
      </c>
      <c r="AJ441" s="2">
        <v>45154</v>
      </c>
    </row>
    <row r="442" spans="1:36">
      <c r="A442" s="1" t="str">
        <f>"Z193BCEDEA"</f>
        <v>Z193BCEDEA</v>
      </c>
      <c r="B442" s="1" t="str">
        <f t="shared" si="6"/>
        <v>02406911202</v>
      </c>
      <c r="C442" s="1" t="s">
        <v>13</v>
      </c>
      <c r="D442" s="1" t="s">
        <v>264</v>
      </c>
      <c r="E442" s="1" t="s">
        <v>636</v>
      </c>
      <c r="F442" s="1" t="s">
        <v>158</v>
      </c>
      <c r="G442" s="1" t="str">
        <f>"97466320153"</f>
        <v>97466320153</v>
      </c>
      <c r="I442" s="1" t="s">
        <v>637</v>
      </c>
      <c r="L442" s="1" t="s">
        <v>43</v>
      </c>
      <c r="M442" s="1">
        <v>4433</v>
      </c>
      <c r="AG442" s="1">
        <v>0</v>
      </c>
      <c r="AH442" s="2">
        <v>45121</v>
      </c>
      <c r="AI442" s="2">
        <v>45169</v>
      </c>
      <c r="AJ442" s="2">
        <v>45121</v>
      </c>
    </row>
    <row r="443" spans="1:36">
      <c r="A443" s="1" t="str">
        <f>"ZA93BF67DF"</f>
        <v>ZA93BF67DF</v>
      </c>
      <c r="B443" s="1" t="str">
        <f t="shared" si="6"/>
        <v>02406911202</v>
      </c>
      <c r="C443" s="1" t="s">
        <v>13</v>
      </c>
      <c r="D443" s="1" t="s">
        <v>180</v>
      </c>
      <c r="E443" s="1" t="s">
        <v>296</v>
      </c>
      <c r="F443" s="1" t="s">
        <v>158</v>
      </c>
      <c r="G443" s="1" t="str">
        <f>"11575580151"</f>
        <v>11575580151</v>
      </c>
      <c r="I443" s="1" t="s">
        <v>127</v>
      </c>
      <c r="L443" s="1" t="s">
        <v>43</v>
      </c>
      <c r="M443" s="1">
        <v>6000</v>
      </c>
      <c r="AG443" s="1">
        <v>5400</v>
      </c>
      <c r="AH443" s="2">
        <v>45127</v>
      </c>
      <c r="AI443" s="2">
        <v>45291</v>
      </c>
      <c r="AJ443" s="2">
        <v>45127</v>
      </c>
    </row>
    <row r="444" spans="1:36">
      <c r="A444" s="1" t="str">
        <f>"ZE73C20884"</f>
        <v>ZE73C20884</v>
      </c>
      <c r="B444" s="1" t="str">
        <f t="shared" si="6"/>
        <v>02406911202</v>
      </c>
      <c r="C444" s="1" t="s">
        <v>13</v>
      </c>
      <c r="D444" s="1" t="s">
        <v>186</v>
      </c>
      <c r="E444" s="1" t="s">
        <v>638</v>
      </c>
      <c r="F444" s="1" t="s">
        <v>158</v>
      </c>
      <c r="G444" s="1" t="str">
        <f>"02491851206"</f>
        <v>02491851206</v>
      </c>
      <c r="I444" s="1" t="s">
        <v>639</v>
      </c>
      <c r="L444" s="1" t="s">
        <v>43</v>
      </c>
      <c r="M444" s="1">
        <v>2000</v>
      </c>
      <c r="AG444" s="1">
        <v>1995.9</v>
      </c>
      <c r="AH444" s="2">
        <v>45142</v>
      </c>
      <c r="AI444" s="2">
        <v>45291</v>
      </c>
      <c r="AJ444" s="2">
        <v>45142</v>
      </c>
    </row>
    <row r="445" spans="1:36">
      <c r="A445" s="1" t="str">
        <f>"995807711B"</f>
        <v>995807711B</v>
      </c>
      <c r="B445" s="1" t="str">
        <f t="shared" si="6"/>
        <v>02406911202</v>
      </c>
      <c r="C445" s="1" t="s">
        <v>13</v>
      </c>
      <c r="D445" s="1" t="s">
        <v>167</v>
      </c>
      <c r="E445" s="1" t="s">
        <v>640</v>
      </c>
      <c r="F445" s="1" t="s">
        <v>151</v>
      </c>
      <c r="G445" s="1" t="str">
        <f>"00832400154"</f>
        <v>00832400154</v>
      </c>
      <c r="I445" s="1" t="s">
        <v>641</v>
      </c>
      <c r="L445" s="1" t="s">
        <v>43</v>
      </c>
      <c r="M445" s="1">
        <v>167500</v>
      </c>
      <c r="AG445" s="1">
        <v>167500</v>
      </c>
      <c r="AH445" s="2">
        <v>45120</v>
      </c>
      <c r="AI445" s="2">
        <v>45478</v>
      </c>
      <c r="AJ445" s="2">
        <v>45120</v>
      </c>
    </row>
    <row r="446" spans="1:36">
      <c r="A446" s="1" t="str">
        <f>"99581182F0"</f>
        <v>99581182F0</v>
      </c>
      <c r="B446" s="1" t="str">
        <f t="shared" si="6"/>
        <v>02406911202</v>
      </c>
      <c r="C446" s="1" t="s">
        <v>13</v>
      </c>
      <c r="D446" s="1" t="s">
        <v>167</v>
      </c>
      <c r="E446" s="1" t="s">
        <v>642</v>
      </c>
      <c r="F446" s="1" t="s">
        <v>151</v>
      </c>
      <c r="G446" s="1" t="str">
        <f>"01391810528"</f>
        <v>01391810528</v>
      </c>
      <c r="I446" s="1" t="s">
        <v>643</v>
      </c>
      <c r="L446" s="1" t="s">
        <v>43</v>
      </c>
      <c r="M446" s="1">
        <v>1786500</v>
      </c>
      <c r="AG446" s="1">
        <v>1792800</v>
      </c>
      <c r="AH446" s="2">
        <v>45120</v>
      </c>
      <c r="AI446" s="2">
        <v>45478</v>
      </c>
      <c r="AJ446" s="2">
        <v>45120</v>
      </c>
    </row>
    <row r="447" spans="1:36">
      <c r="A447" s="1" t="str">
        <f>"Z403C21269"</f>
        <v>Z403C21269</v>
      </c>
      <c r="B447" s="1" t="str">
        <f t="shared" si="6"/>
        <v>02406911202</v>
      </c>
      <c r="C447" s="1" t="s">
        <v>13</v>
      </c>
      <c r="D447" s="1" t="s">
        <v>180</v>
      </c>
      <c r="E447" s="1" t="s">
        <v>181</v>
      </c>
      <c r="F447" s="1" t="s">
        <v>158</v>
      </c>
      <c r="G447" s="1" t="str">
        <f>"11654150157"</f>
        <v>11654150157</v>
      </c>
      <c r="I447" s="1" t="s">
        <v>263</v>
      </c>
      <c r="L447" s="1" t="s">
        <v>43</v>
      </c>
      <c r="M447" s="1">
        <v>6000</v>
      </c>
      <c r="AG447" s="1">
        <v>5154</v>
      </c>
      <c r="AH447" s="2">
        <v>45142</v>
      </c>
      <c r="AI447" s="2">
        <v>45291</v>
      </c>
      <c r="AJ447" s="2">
        <v>45142</v>
      </c>
    </row>
    <row r="448" spans="1:36">
      <c r="A448" s="1" t="str">
        <f>"98780275C0"</f>
        <v>98780275C0</v>
      </c>
      <c r="B448" s="1" t="str">
        <f t="shared" si="6"/>
        <v>02406911202</v>
      </c>
      <c r="C448" s="1" t="s">
        <v>13</v>
      </c>
      <c r="D448" s="1" t="s">
        <v>167</v>
      </c>
      <c r="E448" s="1" t="s">
        <v>644</v>
      </c>
      <c r="F448" s="1" t="s">
        <v>286</v>
      </c>
      <c r="G448" s="1" t="str">
        <f>"02507160824"</f>
        <v>02507160824</v>
      </c>
      <c r="I448" s="1" t="s">
        <v>645</v>
      </c>
      <c r="L448" s="1" t="s">
        <v>43</v>
      </c>
      <c r="M448" s="1">
        <v>5824</v>
      </c>
      <c r="AG448" s="1">
        <v>0</v>
      </c>
      <c r="AH448" s="2">
        <v>45139</v>
      </c>
      <c r="AI448" s="2">
        <v>45869</v>
      </c>
      <c r="AJ448" s="2">
        <v>45139</v>
      </c>
    </row>
    <row r="449" spans="1:36">
      <c r="A449" s="1" t="str">
        <f>"98781760B7"</f>
        <v>98781760B7</v>
      </c>
      <c r="B449" s="1" t="str">
        <f t="shared" si="6"/>
        <v>02406911202</v>
      </c>
      <c r="C449" s="1" t="s">
        <v>13</v>
      </c>
      <c r="D449" s="1" t="s">
        <v>167</v>
      </c>
      <c r="E449" s="1" t="s">
        <v>646</v>
      </c>
      <c r="F449" s="1" t="s">
        <v>286</v>
      </c>
      <c r="G449" s="1" t="str">
        <f>"01607530209"</f>
        <v>01607530209</v>
      </c>
      <c r="I449" s="1" t="s">
        <v>647</v>
      </c>
      <c r="L449" s="1" t="s">
        <v>43</v>
      </c>
      <c r="M449" s="1">
        <v>56375</v>
      </c>
      <c r="AG449" s="1">
        <v>1867.2</v>
      </c>
      <c r="AH449" s="2">
        <v>45139</v>
      </c>
      <c r="AI449" s="2">
        <v>45869</v>
      </c>
      <c r="AJ449" s="2">
        <v>45139</v>
      </c>
    </row>
    <row r="450" spans="1:36">
      <c r="A450" s="1" t="str">
        <f>"9878191D14"</f>
        <v>9878191D14</v>
      </c>
      <c r="B450" s="1" t="str">
        <f t="shared" ref="B450:B513" si="7">"02406911202"</f>
        <v>02406911202</v>
      </c>
      <c r="C450" s="1" t="s">
        <v>13</v>
      </c>
      <c r="D450" s="1" t="s">
        <v>167</v>
      </c>
      <c r="E450" s="1" t="s">
        <v>646</v>
      </c>
      <c r="F450" s="1" t="s">
        <v>286</v>
      </c>
      <c r="G450" s="1" t="str">
        <f>"01368670384"</f>
        <v>01368670384</v>
      </c>
      <c r="I450" s="1" t="s">
        <v>214</v>
      </c>
      <c r="L450" s="1" t="s">
        <v>43</v>
      </c>
      <c r="M450" s="1">
        <v>56375</v>
      </c>
      <c r="AG450" s="1">
        <v>348.8</v>
      </c>
      <c r="AH450" s="2">
        <v>45108</v>
      </c>
      <c r="AI450" s="2">
        <v>45869</v>
      </c>
      <c r="AJ450" s="2">
        <v>45108</v>
      </c>
    </row>
    <row r="451" spans="1:36">
      <c r="A451" s="1" t="str">
        <f>"9882944F60"</f>
        <v>9882944F60</v>
      </c>
      <c r="B451" s="1" t="str">
        <f t="shared" si="7"/>
        <v>02406911202</v>
      </c>
      <c r="C451" s="1" t="s">
        <v>13</v>
      </c>
      <c r="D451" s="1" t="s">
        <v>167</v>
      </c>
      <c r="E451" s="1" t="s">
        <v>648</v>
      </c>
      <c r="F451" s="1" t="s">
        <v>286</v>
      </c>
      <c r="G451" s="1" t="str">
        <f>"01368670384"</f>
        <v>01368670384</v>
      </c>
      <c r="I451" s="1" t="s">
        <v>214</v>
      </c>
      <c r="L451" s="1" t="s">
        <v>43</v>
      </c>
      <c r="M451" s="1">
        <v>2520</v>
      </c>
      <c r="AG451" s="1">
        <v>720</v>
      </c>
      <c r="AH451" s="2">
        <v>45139</v>
      </c>
      <c r="AI451" s="2">
        <v>45869</v>
      </c>
      <c r="AJ451" s="2">
        <v>45139</v>
      </c>
    </row>
    <row r="452" spans="1:36">
      <c r="A452" s="1" t="str">
        <f>"988296725F"</f>
        <v>988296725F</v>
      </c>
      <c r="B452" s="1" t="str">
        <f t="shared" si="7"/>
        <v>02406911202</v>
      </c>
      <c r="C452" s="1" t="s">
        <v>13</v>
      </c>
      <c r="D452" s="1" t="s">
        <v>167</v>
      </c>
      <c r="E452" s="1" t="s">
        <v>649</v>
      </c>
      <c r="F452" s="1" t="s">
        <v>286</v>
      </c>
      <c r="G452" s="1" t="str">
        <f>"01368670384"</f>
        <v>01368670384</v>
      </c>
      <c r="I452" s="1" t="s">
        <v>214</v>
      </c>
      <c r="L452" s="1" t="s">
        <v>43</v>
      </c>
      <c r="M452" s="1">
        <v>47120</v>
      </c>
      <c r="AG452" s="1">
        <v>2480</v>
      </c>
      <c r="AH452" s="2">
        <v>45108</v>
      </c>
      <c r="AI452" s="2">
        <v>45869</v>
      </c>
      <c r="AJ452" s="2">
        <v>45108</v>
      </c>
    </row>
    <row r="453" spans="1:36">
      <c r="A453" s="1" t="str">
        <f>"98829883B3"</f>
        <v>98829883B3</v>
      </c>
      <c r="B453" s="1" t="str">
        <f t="shared" si="7"/>
        <v>02406911202</v>
      </c>
      <c r="C453" s="1" t="s">
        <v>13</v>
      </c>
      <c r="D453" s="1" t="s">
        <v>167</v>
      </c>
      <c r="E453" s="1" t="s">
        <v>650</v>
      </c>
      <c r="F453" s="1" t="s">
        <v>286</v>
      </c>
      <c r="G453" s="1" t="str">
        <f>"01607530209"</f>
        <v>01607530209</v>
      </c>
      <c r="I453" s="1" t="s">
        <v>647</v>
      </c>
      <c r="L453" s="1" t="s">
        <v>43</v>
      </c>
      <c r="M453" s="1">
        <v>610</v>
      </c>
      <c r="AG453" s="1">
        <v>610</v>
      </c>
      <c r="AH453" s="2">
        <v>45108</v>
      </c>
      <c r="AI453" s="2">
        <v>45869</v>
      </c>
      <c r="AJ453" s="2">
        <v>45108</v>
      </c>
    </row>
    <row r="454" spans="1:36">
      <c r="A454" s="1" t="str">
        <f>"Z273BE004C"</f>
        <v>Z273BE004C</v>
      </c>
      <c r="B454" s="1" t="str">
        <f t="shared" si="7"/>
        <v>02406911202</v>
      </c>
      <c r="C454" s="1" t="s">
        <v>13</v>
      </c>
      <c r="D454" s="1" t="s">
        <v>180</v>
      </c>
      <c r="E454" s="1" t="s">
        <v>181</v>
      </c>
      <c r="F454" s="1" t="s">
        <v>158</v>
      </c>
      <c r="H454" s="1" t="str">
        <f>"IE3572385VH"</f>
        <v>IE3572385VH</v>
      </c>
      <c r="I454" s="1" t="s">
        <v>651</v>
      </c>
      <c r="L454" s="1" t="s">
        <v>43</v>
      </c>
      <c r="M454" s="1">
        <v>6000</v>
      </c>
      <c r="AG454" s="1">
        <v>5135</v>
      </c>
      <c r="AH454" s="2">
        <v>45120</v>
      </c>
      <c r="AI454" s="2">
        <v>45291</v>
      </c>
      <c r="AJ454" s="2">
        <v>45120</v>
      </c>
    </row>
    <row r="455" spans="1:36">
      <c r="A455" s="1" t="str">
        <f>"ZD43BE00D8"</f>
        <v>ZD43BE00D8</v>
      </c>
      <c r="B455" s="1" t="str">
        <f t="shared" si="7"/>
        <v>02406911202</v>
      </c>
      <c r="C455" s="1" t="s">
        <v>13</v>
      </c>
      <c r="D455" s="1" t="s">
        <v>180</v>
      </c>
      <c r="E455" s="1" t="s">
        <v>181</v>
      </c>
      <c r="F455" s="1" t="s">
        <v>158</v>
      </c>
      <c r="G455" s="1" t="str">
        <f>"01286700487"</f>
        <v>01286700487</v>
      </c>
      <c r="I455" s="1" t="s">
        <v>652</v>
      </c>
      <c r="L455" s="1" t="s">
        <v>43</v>
      </c>
      <c r="M455" s="1">
        <v>5000</v>
      </c>
      <c r="AG455" s="1">
        <v>5934</v>
      </c>
      <c r="AH455" s="2">
        <v>45120</v>
      </c>
      <c r="AI455" s="2">
        <v>45291</v>
      </c>
      <c r="AJ455" s="2">
        <v>45120</v>
      </c>
    </row>
    <row r="456" spans="1:36">
      <c r="A456" s="1" t="str">
        <f>"Z0B3BEA841"</f>
        <v>Z0B3BEA841</v>
      </c>
      <c r="B456" s="1" t="str">
        <f t="shared" si="7"/>
        <v>02406911202</v>
      </c>
      <c r="C456" s="1" t="s">
        <v>13</v>
      </c>
      <c r="D456" s="1" t="s">
        <v>177</v>
      </c>
      <c r="E456" s="1" t="s">
        <v>653</v>
      </c>
      <c r="F456" s="1" t="s">
        <v>158</v>
      </c>
      <c r="G456" s="1" t="str">
        <f>"01776240028"</f>
        <v>01776240028</v>
      </c>
      <c r="I456" s="1" t="s">
        <v>654</v>
      </c>
      <c r="L456" s="1" t="s">
        <v>43</v>
      </c>
      <c r="M456" s="1">
        <v>249750</v>
      </c>
      <c r="AG456" s="1">
        <v>51269.68</v>
      </c>
      <c r="AH456" s="2">
        <v>45108</v>
      </c>
      <c r="AI456" s="2">
        <v>45657</v>
      </c>
      <c r="AJ456" s="2">
        <v>45108</v>
      </c>
    </row>
    <row r="457" spans="1:36">
      <c r="A457" s="1" t="str">
        <f>"Z3B3BEA872"</f>
        <v>Z3B3BEA872</v>
      </c>
      <c r="B457" s="1" t="str">
        <f t="shared" si="7"/>
        <v>02406911202</v>
      </c>
      <c r="C457" s="1" t="s">
        <v>13</v>
      </c>
      <c r="D457" s="1" t="s">
        <v>177</v>
      </c>
      <c r="E457" s="1" t="s">
        <v>655</v>
      </c>
      <c r="F457" s="1" t="s">
        <v>158</v>
      </c>
      <c r="G457" s="1" t="str">
        <f>"01457730032"</f>
        <v>01457730032</v>
      </c>
      <c r="I457" s="1" t="s">
        <v>656</v>
      </c>
      <c r="L457" s="1" t="s">
        <v>43</v>
      </c>
      <c r="M457" s="1">
        <v>117000</v>
      </c>
      <c r="AG457" s="1">
        <v>24880.89</v>
      </c>
      <c r="AH457" s="2">
        <v>45108</v>
      </c>
      <c r="AI457" s="2">
        <v>45657</v>
      </c>
      <c r="AJ457" s="2">
        <v>45108</v>
      </c>
    </row>
    <row r="458" spans="1:36">
      <c r="A458" s="1" t="str">
        <f>"Z2E3BEA3F6"</f>
        <v>Z2E3BEA3F6</v>
      </c>
      <c r="B458" s="1" t="str">
        <f t="shared" si="7"/>
        <v>02406911202</v>
      </c>
      <c r="C458" s="1" t="s">
        <v>13</v>
      </c>
      <c r="D458" s="1" t="s">
        <v>177</v>
      </c>
      <c r="E458" s="1" t="s">
        <v>657</v>
      </c>
      <c r="F458" s="1" t="s">
        <v>158</v>
      </c>
      <c r="G458" s="1" t="str">
        <f>"01776240028"</f>
        <v>01776240028</v>
      </c>
      <c r="I458" s="1" t="s">
        <v>654</v>
      </c>
      <c r="L458" s="1" t="s">
        <v>43</v>
      </c>
      <c r="M458" s="1">
        <v>4048500</v>
      </c>
      <c r="AG458" s="1">
        <v>887935.73</v>
      </c>
      <c r="AH458" s="2">
        <v>45108</v>
      </c>
      <c r="AI458" s="2">
        <v>45657</v>
      </c>
      <c r="AJ458" s="2">
        <v>45108</v>
      </c>
    </row>
    <row r="459" spans="1:36">
      <c r="A459" s="1" t="str">
        <f>"ZE63BEA488"</f>
        <v>ZE63BEA488</v>
      </c>
      <c r="B459" s="1" t="str">
        <f t="shared" si="7"/>
        <v>02406911202</v>
      </c>
      <c r="C459" s="1" t="s">
        <v>13</v>
      </c>
      <c r="D459" s="1" t="s">
        <v>177</v>
      </c>
      <c r="E459" s="1" t="s">
        <v>658</v>
      </c>
      <c r="F459" s="1" t="s">
        <v>158</v>
      </c>
      <c r="G459" s="1" t="str">
        <f>"01457730032"</f>
        <v>01457730032</v>
      </c>
      <c r="I459" s="1" t="s">
        <v>656</v>
      </c>
      <c r="L459" s="1" t="s">
        <v>43</v>
      </c>
      <c r="M459" s="1">
        <v>3082500</v>
      </c>
      <c r="AG459" s="1">
        <v>714170.89</v>
      </c>
      <c r="AH459" s="2">
        <v>45108</v>
      </c>
      <c r="AI459" s="2">
        <v>45657</v>
      </c>
      <c r="AJ459" s="2">
        <v>45108</v>
      </c>
    </row>
    <row r="460" spans="1:36">
      <c r="A460" s="1" t="str">
        <f>"ZA83BEA382"</f>
        <v>ZA83BEA382</v>
      </c>
      <c r="B460" s="1" t="str">
        <f t="shared" si="7"/>
        <v>02406911202</v>
      </c>
      <c r="C460" s="1" t="s">
        <v>13</v>
      </c>
      <c r="D460" s="1" t="s">
        <v>177</v>
      </c>
      <c r="E460" s="1" t="s">
        <v>659</v>
      </c>
      <c r="F460" s="1" t="s">
        <v>158</v>
      </c>
      <c r="G460" s="1" t="str">
        <f>"00915090393"</f>
        <v>00915090393</v>
      </c>
      <c r="I460" s="1" t="s">
        <v>660</v>
      </c>
      <c r="L460" s="1" t="s">
        <v>43</v>
      </c>
      <c r="M460" s="1">
        <v>7003500</v>
      </c>
      <c r="AG460" s="1">
        <v>1608383.73</v>
      </c>
      <c r="AH460" s="2">
        <v>45108</v>
      </c>
      <c r="AI460" s="2">
        <v>45657</v>
      </c>
      <c r="AJ460" s="2">
        <v>45108</v>
      </c>
    </row>
    <row r="461" spans="1:36">
      <c r="A461" s="1" t="str">
        <f>"A00CB9C6E7"</f>
        <v>A00CB9C6E7</v>
      </c>
      <c r="B461" s="1" t="str">
        <f t="shared" si="7"/>
        <v>02406911202</v>
      </c>
      <c r="C461" s="1" t="s">
        <v>13</v>
      </c>
      <c r="D461" s="1" t="s">
        <v>167</v>
      </c>
      <c r="E461" s="1" t="s">
        <v>110</v>
      </c>
      <c r="F461" s="1" t="s">
        <v>39</v>
      </c>
      <c r="G461" s="1" t="str">
        <f>"01140030360"</f>
        <v>01140030360</v>
      </c>
      <c r="I461" s="1" t="s">
        <v>111</v>
      </c>
      <c r="L461" s="1" t="s">
        <v>43</v>
      </c>
      <c r="M461" s="1">
        <v>3935.83</v>
      </c>
      <c r="AG461" s="1">
        <v>0</v>
      </c>
      <c r="AH461" s="2">
        <v>45200</v>
      </c>
      <c r="AI461" s="2">
        <v>45351</v>
      </c>
      <c r="AJ461" s="2">
        <v>45200</v>
      </c>
    </row>
    <row r="462" spans="1:36">
      <c r="A462" s="1" t="str">
        <f>"A00CBDDC89"</f>
        <v>A00CBDDC89</v>
      </c>
      <c r="B462" s="1" t="str">
        <f t="shared" si="7"/>
        <v>02406911202</v>
      </c>
      <c r="C462" s="1" t="s">
        <v>13</v>
      </c>
      <c r="D462" s="1" t="s">
        <v>167</v>
      </c>
      <c r="E462" s="1" t="s">
        <v>110</v>
      </c>
      <c r="F462" s="1" t="s">
        <v>39</v>
      </c>
      <c r="G462" s="1" t="str">
        <f>"00674840152"</f>
        <v>00674840152</v>
      </c>
      <c r="I462" s="1" t="s">
        <v>87</v>
      </c>
      <c r="L462" s="1" t="s">
        <v>43</v>
      </c>
      <c r="M462" s="1">
        <v>2000</v>
      </c>
      <c r="AG462" s="1">
        <v>0</v>
      </c>
      <c r="AH462" s="2">
        <v>45200</v>
      </c>
      <c r="AI462" s="2">
        <v>45351</v>
      </c>
      <c r="AJ462" s="2">
        <v>45200</v>
      </c>
    </row>
    <row r="463" spans="1:36">
      <c r="A463" s="1" t="str">
        <f>"A00CBA7FF8"</f>
        <v>A00CBA7FF8</v>
      </c>
      <c r="B463" s="1" t="str">
        <f t="shared" si="7"/>
        <v>02406911202</v>
      </c>
      <c r="C463" s="1" t="s">
        <v>13</v>
      </c>
      <c r="D463" s="1" t="s">
        <v>167</v>
      </c>
      <c r="E463" s="1" t="s">
        <v>110</v>
      </c>
      <c r="F463" s="1" t="s">
        <v>39</v>
      </c>
      <c r="G463" s="1" t="str">
        <f>"07668030583"</f>
        <v>07668030583</v>
      </c>
      <c r="I463" s="1" t="s">
        <v>113</v>
      </c>
      <c r="L463" s="1" t="s">
        <v>43</v>
      </c>
      <c r="M463" s="1">
        <v>6708.33</v>
      </c>
      <c r="AG463" s="1">
        <v>320</v>
      </c>
      <c r="AH463" s="2">
        <v>45200</v>
      </c>
      <c r="AI463" s="2">
        <v>45351</v>
      </c>
      <c r="AJ463" s="2">
        <v>45200</v>
      </c>
    </row>
    <row r="464" spans="1:36">
      <c r="A464" s="1" t="str">
        <f>"A00CBCCE81"</f>
        <v>A00CBCCE81</v>
      </c>
      <c r="B464" s="1" t="str">
        <f t="shared" si="7"/>
        <v>02406911202</v>
      </c>
      <c r="C464" s="1" t="s">
        <v>13</v>
      </c>
      <c r="D464" s="1" t="s">
        <v>167</v>
      </c>
      <c r="E464" s="1" t="s">
        <v>110</v>
      </c>
      <c r="F464" s="1" t="s">
        <v>39</v>
      </c>
      <c r="G464" s="1" t="str">
        <f>"03748120155"</f>
        <v>03748120155</v>
      </c>
      <c r="I464" s="1" t="s">
        <v>107</v>
      </c>
      <c r="L464" s="1" t="s">
        <v>43</v>
      </c>
      <c r="M464" s="1">
        <v>7818.33</v>
      </c>
      <c r="AG464" s="1">
        <v>4981.6000000000004</v>
      </c>
      <c r="AH464" s="2">
        <v>45200</v>
      </c>
      <c r="AI464" s="2">
        <v>45351</v>
      </c>
      <c r="AJ464" s="2">
        <v>45200</v>
      </c>
    </row>
    <row r="465" spans="1:36">
      <c r="A465" s="1" t="str">
        <f>"Z553C65B55"</f>
        <v>Z553C65B55</v>
      </c>
      <c r="B465" s="1" t="str">
        <f t="shared" si="7"/>
        <v>02406911202</v>
      </c>
      <c r="C465" s="1" t="s">
        <v>13</v>
      </c>
      <c r="D465" s="1" t="s">
        <v>180</v>
      </c>
      <c r="E465" s="1" t="s">
        <v>279</v>
      </c>
      <c r="F465" s="1" t="s">
        <v>158</v>
      </c>
      <c r="G465" s="1" t="str">
        <f>"02550611202"</f>
        <v>02550611202</v>
      </c>
      <c r="I465" s="1" t="s">
        <v>459</v>
      </c>
      <c r="L465" s="1" t="s">
        <v>43</v>
      </c>
      <c r="M465" s="1">
        <v>5000</v>
      </c>
      <c r="AG465" s="1">
        <v>2690</v>
      </c>
      <c r="AH465" s="2">
        <v>45177</v>
      </c>
      <c r="AI465" s="2">
        <v>45291</v>
      </c>
      <c r="AJ465" s="2">
        <v>45177</v>
      </c>
    </row>
    <row r="466" spans="1:36">
      <c r="A466" s="1" t="str">
        <f>"Z4B3C65B94"</f>
        <v>Z4B3C65B94</v>
      </c>
      <c r="B466" s="1" t="str">
        <f t="shared" si="7"/>
        <v>02406911202</v>
      </c>
      <c r="C466" s="1" t="s">
        <v>13</v>
      </c>
      <c r="D466" s="1" t="s">
        <v>180</v>
      </c>
      <c r="E466" s="1" t="s">
        <v>279</v>
      </c>
      <c r="F466" s="1" t="s">
        <v>158</v>
      </c>
      <c r="G466" s="1" t="str">
        <f>"12792100153"</f>
        <v>12792100153</v>
      </c>
      <c r="I466" s="1" t="s">
        <v>58</v>
      </c>
      <c r="L466" s="1" t="s">
        <v>43</v>
      </c>
      <c r="M466" s="1">
        <v>5000</v>
      </c>
      <c r="AG466" s="1">
        <v>4369.51</v>
      </c>
      <c r="AH466" s="2">
        <v>45177</v>
      </c>
      <c r="AI466" s="2">
        <v>45291</v>
      </c>
      <c r="AJ466" s="2">
        <v>45177</v>
      </c>
    </row>
    <row r="467" spans="1:36">
      <c r="A467" s="1" t="str">
        <f>"A00CB0E1BA"</f>
        <v>A00CB0E1BA</v>
      </c>
      <c r="B467" s="1" t="str">
        <f t="shared" si="7"/>
        <v>02406911202</v>
      </c>
      <c r="C467" s="1" t="s">
        <v>13</v>
      </c>
      <c r="D467" s="1" t="s">
        <v>167</v>
      </c>
      <c r="E467" s="1" t="s">
        <v>661</v>
      </c>
      <c r="F467" s="1" t="s">
        <v>39</v>
      </c>
      <c r="G467" s="1" t="str">
        <f>"03748120155"</f>
        <v>03748120155</v>
      </c>
      <c r="I467" s="1" t="s">
        <v>107</v>
      </c>
      <c r="L467" s="1" t="s">
        <v>43</v>
      </c>
      <c r="M467" s="1">
        <v>15000</v>
      </c>
      <c r="AG467" s="1">
        <v>5480.8</v>
      </c>
      <c r="AH467" s="2">
        <v>45202</v>
      </c>
      <c r="AI467" s="2">
        <v>45384</v>
      </c>
      <c r="AJ467" s="2">
        <v>45202</v>
      </c>
    </row>
    <row r="468" spans="1:36">
      <c r="A468" s="1" t="str">
        <f>"ZD63C66B79"</f>
        <v>ZD63C66B79</v>
      </c>
      <c r="B468" s="1" t="str">
        <f t="shared" si="7"/>
        <v>02406911202</v>
      </c>
      <c r="C468" s="1" t="s">
        <v>13</v>
      </c>
      <c r="D468" s="1" t="s">
        <v>180</v>
      </c>
      <c r="E468" s="1" t="s">
        <v>279</v>
      </c>
      <c r="F468" s="1" t="s">
        <v>158</v>
      </c>
      <c r="G468" s="1" t="str">
        <f>"13209130155"</f>
        <v>13209130155</v>
      </c>
      <c r="I468" s="1" t="s">
        <v>293</v>
      </c>
      <c r="L468" s="1" t="s">
        <v>43</v>
      </c>
      <c r="M468" s="1">
        <v>5000</v>
      </c>
      <c r="AG468" s="1">
        <v>5756.64</v>
      </c>
      <c r="AH468" s="2">
        <v>45180</v>
      </c>
      <c r="AI468" s="2">
        <v>45291</v>
      </c>
      <c r="AJ468" s="2">
        <v>45180</v>
      </c>
    </row>
    <row r="469" spans="1:36">
      <c r="A469" s="1" t="str">
        <f>"Z8A3C6831C"</f>
        <v>Z8A3C6831C</v>
      </c>
      <c r="B469" s="1" t="str">
        <f t="shared" si="7"/>
        <v>02406911202</v>
      </c>
      <c r="C469" s="1" t="s">
        <v>13</v>
      </c>
      <c r="D469" s="1" t="s">
        <v>177</v>
      </c>
      <c r="E469" s="1" t="s">
        <v>662</v>
      </c>
      <c r="F469" s="1" t="s">
        <v>158</v>
      </c>
      <c r="G469" s="1" t="str">
        <f>"03560331203"</f>
        <v>03560331203</v>
      </c>
      <c r="I469" s="1" t="s">
        <v>663</v>
      </c>
      <c r="L469" s="1" t="s">
        <v>43</v>
      </c>
      <c r="M469" s="1">
        <v>1662.29</v>
      </c>
      <c r="AG469" s="1">
        <v>1662.3</v>
      </c>
      <c r="AH469" s="2">
        <v>45180</v>
      </c>
      <c r="AI469" s="2">
        <v>45291</v>
      </c>
      <c r="AJ469" s="2">
        <v>45180</v>
      </c>
    </row>
    <row r="470" spans="1:36">
      <c r="A470" s="1" t="str">
        <f>"Z423C6D6A7"</f>
        <v>Z423C6D6A7</v>
      </c>
      <c r="B470" s="1" t="str">
        <f t="shared" si="7"/>
        <v>02406911202</v>
      </c>
      <c r="C470" s="1" t="s">
        <v>13</v>
      </c>
      <c r="D470" s="1" t="s">
        <v>180</v>
      </c>
      <c r="E470" s="1" t="s">
        <v>281</v>
      </c>
      <c r="F470" s="1" t="s">
        <v>158</v>
      </c>
      <c r="G470" s="1" t="str">
        <f>"12572900152"</f>
        <v>12572900152</v>
      </c>
      <c r="I470" s="1" t="s">
        <v>335</v>
      </c>
      <c r="L470" s="1" t="s">
        <v>43</v>
      </c>
      <c r="M470" s="1">
        <v>6000</v>
      </c>
      <c r="AG470" s="1">
        <v>80</v>
      </c>
      <c r="AH470" s="2">
        <v>45181</v>
      </c>
      <c r="AI470" s="2">
        <v>45291</v>
      </c>
      <c r="AJ470" s="2">
        <v>45181</v>
      </c>
    </row>
    <row r="471" spans="1:36">
      <c r="A471" s="1" t="str">
        <f>"Z0F3C568EB"</f>
        <v>Z0F3C568EB</v>
      </c>
      <c r="B471" s="1" t="str">
        <f t="shared" si="7"/>
        <v>02406911202</v>
      </c>
      <c r="C471" s="1" t="s">
        <v>13</v>
      </c>
      <c r="D471" s="1" t="s">
        <v>186</v>
      </c>
      <c r="E471" s="1" t="s">
        <v>664</v>
      </c>
      <c r="F471" s="1" t="s">
        <v>158</v>
      </c>
      <c r="G471" s="1" t="str">
        <f>"02301560260"</f>
        <v>02301560260</v>
      </c>
      <c r="I471" s="1" t="s">
        <v>665</v>
      </c>
      <c r="L471" s="1" t="s">
        <v>43</v>
      </c>
      <c r="M471" s="1">
        <v>1300</v>
      </c>
      <c r="AG471" s="1">
        <v>0</v>
      </c>
      <c r="AH471" s="2">
        <v>45181</v>
      </c>
      <c r="AI471" s="2">
        <v>45199</v>
      </c>
      <c r="AJ471" s="2">
        <v>45181</v>
      </c>
    </row>
    <row r="472" spans="1:36">
      <c r="A472" s="1" t="str">
        <f>"9877918BCB"</f>
        <v>9877918BCB</v>
      </c>
      <c r="B472" s="1" t="str">
        <f t="shared" si="7"/>
        <v>02406911202</v>
      </c>
      <c r="C472" s="1" t="s">
        <v>13</v>
      </c>
      <c r="D472" s="1" t="s">
        <v>167</v>
      </c>
      <c r="E472" s="1" t="s">
        <v>350</v>
      </c>
      <c r="F472" s="1" t="s">
        <v>286</v>
      </c>
      <c r="G472" s="1" t="str">
        <f>"08230471008"</f>
        <v>08230471008</v>
      </c>
      <c r="I472" s="1" t="s">
        <v>666</v>
      </c>
      <c r="L472" s="1" t="s">
        <v>43</v>
      </c>
      <c r="M472" s="1">
        <v>18375</v>
      </c>
      <c r="AG472" s="1">
        <v>57</v>
      </c>
      <c r="AH472" s="2">
        <v>45139</v>
      </c>
      <c r="AI472" s="2">
        <v>45869</v>
      </c>
      <c r="AJ472" s="2">
        <v>45139</v>
      </c>
    </row>
    <row r="473" spans="1:36">
      <c r="A473" s="1" t="str">
        <f>"98780443C8"</f>
        <v>98780443C8</v>
      </c>
      <c r="B473" s="1" t="str">
        <f t="shared" si="7"/>
        <v>02406911202</v>
      </c>
      <c r="C473" s="1" t="s">
        <v>13</v>
      </c>
      <c r="D473" s="1" t="s">
        <v>167</v>
      </c>
      <c r="E473" s="1" t="s">
        <v>644</v>
      </c>
      <c r="F473" s="1" t="s">
        <v>286</v>
      </c>
      <c r="G473" s="1" t="str">
        <f>"09238800156"</f>
        <v>09238800156</v>
      </c>
      <c r="I473" s="1" t="s">
        <v>92</v>
      </c>
      <c r="L473" s="1" t="s">
        <v>43</v>
      </c>
      <c r="M473" s="1">
        <v>5824</v>
      </c>
      <c r="AG473" s="1">
        <v>1006.5</v>
      </c>
      <c r="AH473" s="2">
        <v>45139</v>
      </c>
      <c r="AI473" s="2">
        <v>45869</v>
      </c>
      <c r="AJ473" s="2">
        <v>45139</v>
      </c>
    </row>
    <row r="474" spans="1:36">
      <c r="A474" s="1" t="str">
        <f>"ZB53BE0055"</f>
        <v>ZB53BE0055</v>
      </c>
      <c r="B474" s="1" t="str">
        <f t="shared" si="7"/>
        <v>02406911202</v>
      </c>
      <c r="C474" s="1" t="s">
        <v>13</v>
      </c>
      <c r="D474" s="1" t="s">
        <v>180</v>
      </c>
      <c r="E474" s="1" t="s">
        <v>281</v>
      </c>
      <c r="F474" s="1" t="s">
        <v>158</v>
      </c>
      <c r="G474" s="1" t="str">
        <f>"10517560156"</f>
        <v>10517560156</v>
      </c>
      <c r="I474" s="1" t="s">
        <v>333</v>
      </c>
      <c r="L474" s="1" t="s">
        <v>43</v>
      </c>
      <c r="M474" s="1">
        <v>6000</v>
      </c>
      <c r="AG474" s="1">
        <v>6464.01</v>
      </c>
      <c r="AH474" s="2">
        <v>45121</v>
      </c>
      <c r="AI474" s="2">
        <v>45291</v>
      </c>
      <c r="AJ474" s="2">
        <v>45121</v>
      </c>
    </row>
    <row r="475" spans="1:36">
      <c r="A475" s="1" t="str">
        <f>"99999793BA"</f>
        <v>99999793BA</v>
      </c>
      <c r="B475" s="1" t="str">
        <f t="shared" si="7"/>
        <v>02406911202</v>
      </c>
      <c r="C475" s="1" t="s">
        <v>13</v>
      </c>
      <c r="D475" s="1" t="s">
        <v>167</v>
      </c>
      <c r="E475" s="1" t="s">
        <v>667</v>
      </c>
      <c r="F475" s="1" t="s">
        <v>151</v>
      </c>
      <c r="G475" s="1" t="str">
        <f>"11264670156"</f>
        <v>11264670156</v>
      </c>
      <c r="I475" s="1" t="s">
        <v>66</v>
      </c>
      <c r="L475" s="1" t="s">
        <v>43</v>
      </c>
      <c r="M475" s="1">
        <v>116066.25</v>
      </c>
      <c r="AG475" s="1">
        <v>5755.8</v>
      </c>
      <c r="AH475" s="2">
        <v>45140</v>
      </c>
      <c r="AI475" s="2">
        <v>45412</v>
      </c>
      <c r="AJ475" s="2">
        <v>45140</v>
      </c>
    </row>
    <row r="476" spans="1:36">
      <c r="A476" s="1" t="str">
        <f>"A0000B88A8"</f>
        <v>A0000B88A8</v>
      </c>
      <c r="B476" s="1" t="str">
        <f t="shared" si="7"/>
        <v>02406911202</v>
      </c>
      <c r="C476" s="1" t="s">
        <v>13</v>
      </c>
      <c r="D476" s="1" t="s">
        <v>167</v>
      </c>
      <c r="E476" s="1" t="s">
        <v>532</v>
      </c>
      <c r="F476" s="1" t="s">
        <v>151</v>
      </c>
      <c r="G476" s="1" t="str">
        <f>"09699320017"</f>
        <v>09699320017</v>
      </c>
      <c r="I476" s="1" t="s">
        <v>668</v>
      </c>
      <c r="L476" s="1" t="s">
        <v>43</v>
      </c>
      <c r="M476" s="1">
        <v>38941.089999999997</v>
      </c>
      <c r="AG476" s="1">
        <v>3339</v>
      </c>
      <c r="AH476" s="2">
        <v>45140</v>
      </c>
      <c r="AI476" s="2">
        <v>45412</v>
      </c>
      <c r="AJ476" s="2">
        <v>45140</v>
      </c>
    </row>
    <row r="477" spans="1:36">
      <c r="A477" s="1" t="str">
        <f>"A0000DF8D7"</f>
        <v>A0000DF8D7</v>
      </c>
      <c r="B477" s="1" t="str">
        <f t="shared" si="7"/>
        <v>02406911202</v>
      </c>
      <c r="C477" s="1" t="s">
        <v>13</v>
      </c>
      <c r="D477" s="1" t="s">
        <v>167</v>
      </c>
      <c r="E477" s="1" t="s">
        <v>667</v>
      </c>
      <c r="F477" s="1" t="s">
        <v>151</v>
      </c>
      <c r="G477" s="1" t="str">
        <f>"09238800156"</f>
        <v>09238800156</v>
      </c>
      <c r="I477" s="1" t="s">
        <v>92</v>
      </c>
      <c r="L477" s="1" t="s">
        <v>43</v>
      </c>
      <c r="M477" s="1">
        <v>354977.44</v>
      </c>
      <c r="AG477" s="1">
        <v>6344.1</v>
      </c>
      <c r="AH477" s="2">
        <v>45140</v>
      </c>
      <c r="AI477" s="2">
        <v>45412</v>
      </c>
      <c r="AJ477" s="2">
        <v>45140</v>
      </c>
    </row>
    <row r="478" spans="1:36">
      <c r="A478" s="1" t="str">
        <f>"ZDD3C172C0"</f>
        <v>ZDD3C172C0</v>
      </c>
      <c r="B478" s="1" t="str">
        <f t="shared" si="7"/>
        <v>02406911202</v>
      </c>
      <c r="C478" s="1" t="s">
        <v>13</v>
      </c>
      <c r="D478" s="1" t="s">
        <v>186</v>
      </c>
      <c r="E478" s="1" t="s">
        <v>669</v>
      </c>
      <c r="F478" s="1" t="s">
        <v>158</v>
      </c>
      <c r="G478" s="1" t="str">
        <f>"02316361209"</f>
        <v>02316361209</v>
      </c>
      <c r="I478" s="1" t="s">
        <v>670</v>
      </c>
      <c r="L478" s="1" t="s">
        <v>43</v>
      </c>
      <c r="M478" s="1">
        <v>4990</v>
      </c>
      <c r="AG478" s="1">
        <v>43.66</v>
      </c>
      <c r="AH478" s="2">
        <v>45139</v>
      </c>
      <c r="AI478" s="2">
        <v>45291</v>
      </c>
      <c r="AJ478" s="2">
        <v>45139</v>
      </c>
    </row>
    <row r="479" spans="1:36">
      <c r="A479" s="1" t="str">
        <f>"ZE63C2B9B6"</f>
        <v>ZE63C2B9B6</v>
      </c>
      <c r="B479" s="1" t="str">
        <f t="shared" si="7"/>
        <v>02406911202</v>
      </c>
      <c r="C479" s="1" t="s">
        <v>13</v>
      </c>
      <c r="D479" s="1" t="s">
        <v>180</v>
      </c>
      <c r="E479" s="1" t="s">
        <v>296</v>
      </c>
      <c r="F479" s="1" t="s">
        <v>158</v>
      </c>
      <c r="G479" s="1" t="str">
        <f>"11575580151"</f>
        <v>11575580151</v>
      </c>
      <c r="I479" s="1" t="s">
        <v>127</v>
      </c>
      <c r="L479" s="1" t="s">
        <v>43</v>
      </c>
      <c r="M479" s="1">
        <v>6000</v>
      </c>
      <c r="AG479" s="1">
        <v>5400</v>
      </c>
      <c r="AH479" s="2">
        <v>45147</v>
      </c>
      <c r="AI479" s="2">
        <v>45291</v>
      </c>
      <c r="AJ479" s="2">
        <v>45147</v>
      </c>
    </row>
    <row r="480" spans="1:36">
      <c r="A480" s="1" t="str">
        <f>"Z783C2BA75"</f>
        <v>Z783C2BA75</v>
      </c>
      <c r="B480" s="1" t="str">
        <f t="shared" si="7"/>
        <v>02406911202</v>
      </c>
      <c r="C480" s="1" t="s">
        <v>13</v>
      </c>
      <c r="D480" s="1" t="s">
        <v>180</v>
      </c>
      <c r="E480" s="1" t="s">
        <v>296</v>
      </c>
      <c r="F480" s="1" t="s">
        <v>158</v>
      </c>
      <c r="G480" s="1" t="str">
        <f>"11575580151"</f>
        <v>11575580151</v>
      </c>
      <c r="I480" s="1" t="s">
        <v>127</v>
      </c>
      <c r="L480" s="1" t="s">
        <v>43</v>
      </c>
      <c r="M480" s="1">
        <v>6000</v>
      </c>
      <c r="AG480" s="1">
        <v>5400</v>
      </c>
      <c r="AH480" s="2">
        <v>45147</v>
      </c>
      <c r="AI480" s="2">
        <v>45291</v>
      </c>
      <c r="AJ480" s="2">
        <v>45147</v>
      </c>
    </row>
    <row r="481" spans="1:36">
      <c r="A481" s="1" t="str">
        <f>"Z3D3C2BB39"</f>
        <v>Z3D3C2BB39</v>
      </c>
      <c r="B481" s="1" t="str">
        <f t="shared" si="7"/>
        <v>02406911202</v>
      </c>
      <c r="C481" s="1" t="s">
        <v>13</v>
      </c>
      <c r="D481" s="1" t="s">
        <v>180</v>
      </c>
      <c r="E481" s="1" t="s">
        <v>281</v>
      </c>
      <c r="F481" s="1" t="s">
        <v>158</v>
      </c>
      <c r="G481" s="1" t="str">
        <f>"02417881204"</f>
        <v>02417881204</v>
      </c>
      <c r="I481" s="1" t="s">
        <v>328</v>
      </c>
      <c r="L481" s="1" t="s">
        <v>43</v>
      </c>
      <c r="M481" s="1">
        <v>6000</v>
      </c>
      <c r="AG481" s="1">
        <v>5330</v>
      </c>
      <c r="AH481" s="2">
        <v>45147</v>
      </c>
      <c r="AI481" s="2">
        <v>45291</v>
      </c>
      <c r="AJ481" s="2">
        <v>45147</v>
      </c>
    </row>
    <row r="482" spans="1:36">
      <c r="A482" s="1" t="str">
        <f>"Z883C2BBD4"</f>
        <v>Z883C2BBD4</v>
      </c>
      <c r="B482" s="1" t="str">
        <f t="shared" si="7"/>
        <v>02406911202</v>
      </c>
      <c r="C482" s="1" t="s">
        <v>13</v>
      </c>
      <c r="D482" s="1" t="s">
        <v>180</v>
      </c>
      <c r="E482" s="1" t="s">
        <v>281</v>
      </c>
      <c r="F482" s="1" t="s">
        <v>158</v>
      </c>
      <c r="G482" s="1" t="str">
        <f>"12572900152"</f>
        <v>12572900152</v>
      </c>
      <c r="I482" s="1" t="s">
        <v>335</v>
      </c>
      <c r="L482" s="1" t="s">
        <v>43</v>
      </c>
      <c r="M482" s="1">
        <v>6000</v>
      </c>
      <c r="AG482" s="1">
        <v>6568.84</v>
      </c>
      <c r="AH482" s="2">
        <v>45147</v>
      </c>
      <c r="AI482" s="2">
        <v>45291</v>
      </c>
      <c r="AJ482" s="2">
        <v>45147</v>
      </c>
    </row>
    <row r="483" spans="1:36">
      <c r="A483" s="1" t="str">
        <f>"Z2E3C2D68E"</f>
        <v>Z2E3C2D68E</v>
      </c>
      <c r="B483" s="1" t="str">
        <f t="shared" si="7"/>
        <v>02406911202</v>
      </c>
      <c r="C483" s="1" t="s">
        <v>13</v>
      </c>
      <c r="D483" s="1" t="s">
        <v>180</v>
      </c>
      <c r="E483" s="1" t="s">
        <v>185</v>
      </c>
      <c r="F483" s="1" t="s">
        <v>158</v>
      </c>
      <c r="G483" s="1" t="str">
        <f>"03524050238"</f>
        <v>03524050238</v>
      </c>
      <c r="I483" s="1" t="s">
        <v>171</v>
      </c>
      <c r="L483" s="1" t="s">
        <v>43</v>
      </c>
      <c r="M483" s="1">
        <v>6000</v>
      </c>
      <c r="AG483" s="1">
        <v>4843.5</v>
      </c>
      <c r="AH483" s="2">
        <v>45148</v>
      </c>
      <c r="AI483" s="2">
        <v>45291</v>
      </c>
      <c r="AJ483" s="2">
        <v>45148</v>
      </c>
    </row>
    <row r="484" spans="1:36">
      <c r="A484" s="1" t="str">
        <f>"ZB73C2D734"</f>
        <v>ZB73C2D734</v>
      </c>
      <c r="B484" s="1" t="str">
        <f t="shared" si="7"/>
        <v>02406911202</v>
      </c>
      <c r="C484" s="1" t="s">
        <v>13</v>
      </c>
      <c r="D484" s="1" t="s">
        <v>177</v>
      </c>
      <c r="E484" s="1" t="s">
        <v>671</v>
      </c>
      <c r="F484" s="1" t="s">
        <v>158</v>
      </c>
      <c r="G484" s="1" t="str">
        <f>"04192580373"</f>
        <v>04192580373</v>
      </c>
      <c r="I484" s="1" t="s">
        <v>672</v>
      </c>
      <c r="L484" s="1" t="s">
        <v>43</v>
      </c>
      <c r="M484" s="1">
        <v>40000</v>
      </c>
      <c r="AG484" s="1">
        <v>7903.37</v>
      </c>
      <c r="AH484" s="2">
        <v>45108</v>
      </c>
      <c r="AI484" s="2">
        <v>45657</v>
      </c>
      <c r="AJ484" s="2">
        <v>45108</v>
      </c>
    </row>
    <row r="485" spans="1:36">
      <c r="A485" s="1" t="str">
        <f>"ZE43C2E83C"</f>
        <v>ZE43C2E83C</v>
      </c>
      <c r="B485" s="1" t="str">
        <f t="shared" si="7"/>
        <v>02406911202</v>
      </c>
      <c r="C485" s="1" t="s">
        <v>13</v>
      </c>
      <c r="D485" s="1" t="s">
        <v>180</v>
      </c>
      <c r="E485" s="1" t="s">
        <v>296</v>
      </c>
      <c r="F485" s="1" t="s">
        <v>158</v>
      </c>
      <c r="G485" s="1" t="str">
        <f>"01865630287"</f>
        <v>01865630287</v>
      </c>
      <c r="I485" s="1" t="s">
        <v>234</v>
      </c>
      <c r="L485" s="1" t="s">
        <v>43</v>
      </c>
      <c r="M485" s="1">
        <v>5000</v>
      </c>
      <c r="AG485" s="1">
        <v>0</v>
      </c>
      <c r="AH485" s="2">
        <v>45148</v>
      </c>
      <c r="AI485" s="2">
        <v>45291</v>
      </c>
      <c r="AJ485" s="2">
        <v>45148</v>
      </c>
    </row>
    <row r="486" spans="1:36">
      <c r="A486" s="1" t="str">
        <f>"Z183C2E828"</f>
        <v>Z183C2E828</v>
      </c>
      <c r="B486" s="1" t="str">
        <f t="shared" si="7"/>
        <v>02406911202</v>
      </c>
      <c r="C486" s="1" t="s">
        <v>13</v>
      </c>
      <c r="D486" s="1" t="s">
        <v>180</v>
      </c>
      <c r="E486" s="1" t="s">
        <v>296</v>
      </c>
      <c r="F486" s="1" t="s">
        <v>158</v>
      </c>
      <c r="G486" s="1" t="str">
        <f>"11206730159"</f>
        <v>11206730159</v>
      </c>
      <c r="I486" s="1" t="s">
        <v>68</v>
      </c>
      <c r="L486" s="1" t="s">
        <v>43</v>
      </c>
      <c r="M486" s="1">
        <v>6000</v>
      </c>
      <c r="AG486" s="1">
        <v>5734</v>
      </c>
      <c r="AH486" s="2">
        <v>45148</v>
      </c>
      <c r="AI486" s="2">
        <v>45291</v>
      </c>
      <c r="AJ486" s="2">
        <v>45148</v>
      </c>
    </row>
    <row r="487" spans="1:36">
      <c r="A487" s="1" t="str">
        <f>"Z523C2E81A"</f>
        <v>Z523C2E81A</v>
      </c>
      <c r="B487" s="1" t="str">
        <f t="shared" si="7"/>
        <v>02406911202</v>
      </c>
      <c r="C487" s="1" t="s">
        <v>13</v>
      </c>
      <c r="D487" s="1" t="s">
        <v>180</v>
      </c>
      <c r="E487" s="1" t="s">
        <v>296</v>
      </c>
      <c r="F487" s="1" t="s">
        <v>158</v>
      </c>
      <c r="G487" s="1" t="str">
        <f>"02123550200"</f>
        <v>02123550200</v>
      </c>
      <c r="I487" s="1" t="s">
        <v>673</v>
      </c>
      <c r="L487" s="1" t="s">
        <v>43</v>
      </c>
      <c r="M487" s="1">
        <v>6000</v>
      </c>
      <c r="AG487" s="1">
        <v>2488.8000000000002</v>
      </c>
      <c r="AH487" s="2">
        <v>45148</v>
      </c>
      <c r="AI487" s="2">
        <v>45291</v>
      </c>
      <c r="AJ487" s="2">
        <v>45148</v>
      </c>
    </row>
    <row r="488" spans="1:36">
      <c r="A488" s="1" t="str">
        <f>"A001C0502C"</f>
        <v>A001C0502C</v>
      </c>
      <c r="B488" s="1" t="str">
        <f t="shared" si="7"/>
        <v>02406911202</v>
      </c>
      <c r="C488" s="1" t="s">
        <v>13</v>
      </c>
      <c r="D488" s="1" t="s">
        <v>167</v>
      </c>
      <c r="E488" s="1" t="s">
        <v>674</v>
      </c>
      <c r="F488" s="1" t="s">
        <v>39</v>
      </c>
      <c r="G488" s="1" t="str">
        <f>"09058160152"</f>
        <v>09058160152</v>
      </c>
      <c r="I488" s="1" t="s">
        <v>675</v>
      </c>
      <c r="L488" s="1" t="s">
        <v>43</v>
      </c>
      <c r="M488" s="1">
        <v>642957</v>
      </c>
      <c r="AG488" s="1">
        <v>360.27</v>
      </c>
      <c r="AH488" s="2">
        <v>45139</v>
      </c>
      <c r="AI488" s="2">
        <v>45869</v>
      </c>
      <c r="AJ488" s="2">
        <v>45139</v>
      </c>
    </row>
    <row r="489" spans="1:36">
      <c r="A489" s="1" t="str">
        <f>"Z113BE3728"</f>
        <v>Z113BE3728</v>
      </c>
      <c r="B489" s="1" t="str">
        <f t="shared" si="7"/>
        <v>02406911202</v>
      </c>
      <c r="C489" s="1" t="s">
        <v>13</v>
      </c>
      <c r="D489" s="1" t="s">
        <v>186</v>
      </c>
      <c r="E489" s="1" t="s">
        <v>676</v>
      </c>
      <c r="F489" s="1" t="s">
        <v>158</v>
      </c>
      <c r="G489" s="1" t="str">
        <f>"01835220482"</f>
        <v>01835220482</v>
      </c>
      <c r="I489" s="1" t="s">
        <v>531</v>
      </c>
      <c r="L489" s="1" t="s">
        <v>43</v>
      </c>
      <c r="M489" s="1">
        <v>4999</v>
      </c>
      <c r="AG489" s="1">
        <v>3450</v>
      </c>
      <c r="AH489" s="2">
        <v>45121</v>
      </c>
      <c r="AI489" s="2">
        <v>45504</v>
      </c>
      <c r="AJ489" s="2">
        <v>45121</v>
      </c>
    </row>
    <row r="490" spans="1:36">
      <c r="A490" s="1" t="str">
        <f>"ZDE3BE4054"</f>
        <v>ZDE3BE4054</v>
      </c>
      <c r="B490" s="1" t="str">
        <f t="shared" si="7"/>
        <v>02406911202</v>
      </c>
      <c r="C490" s="1" t="s">
        <v>13</v>
      </c>
      <c r="D490" s="1" t="s">
        <v>177</v>
      </c>
      <c r="E490" s="1" t="s">
        <v>677</v>
      </c>
      <c r="F490" s="1" t="s">
        <v>39</v>
      </c>
      <c r="G490" s="1" t="str">
        <f>"03905171207"</f>
        <v>03905171207</v>
      </c>
      <c r="I490" s="1" t="s">
        <v>678</v>
      </c>
      <c r="L490" s="1" t="s">
        <v>43</v>
      </c>
      <c r="M490" s="1">
        <v>33615</v>
      </c>
      <c r="AG490" s="1">
        <v>8485.4</v>
      </c>
      <c r="AH490" s="2">
        <v>45121</v>
      </c>
      <c r="AI490" s="2">
        <v>45291</v>
      </c>
      <c r="AJ490" s="2">
        <v>45121</v>
      </c>
    </row>
    <row r="491" spans="1:36">
      <c r="A491" s="1" t="str">
        <f>"Z533BE025A"</f>
        <v>Z533BE025A</v>
      </c>
      <c r="B491" s="1" t="str">
        <f t="shared" si="7"/>
        <v>02406911202</v>
      </c>
      <c r="C491" s="1" t="s">
        <v>13</v>
      </c>
      <c r="D491" s="1" t="s">
        <v>180</v>
      </c>
      <c r="E491" s="1" t="s">
        <v>185</v>
      </c>
      <c r="F491" s="1" t="s">
        <v>158</v>
      </c>
      <c r="G491" s="1" t="str">
        <f>"07587340964"</f>
        <v>07587340964</v>
      </c>
      <c r="I491" s="1" t="s">
        <v>679</v>
      </c>
      <c r="L491" s="1" t="s">
        <v>43</v>
      </c>
      <c r="M491" s="1">
        <v>5000</v>
      </c>
      <c r="AG491" s="1">
        <v>4600.2</v>
      </c>
      <c r="AH491" s="2">
        <v>45120</v>
      </c>
      <c r="AI491" s="2">
        <v>45291</v>
      </c>
      <c r="AJ491" s="2">
        <v>45120</v>
      </c>
    </row>
    <row r="492" spans="1:36">
      <c r="A492" s="1" t="str">
        <f>"99453992E3"</f>
        <v>99453992E3</v>
      </c>
      <c r="B492" s="1" t="str">
        <f t="shared" si="7"/>
        <v>02406911202</v>
      </c>
      <c r="C492" s="1" t="s">
        <v>13</v>
      </c>
      <c r="D492" s="1" t="s">
        <v>186</v>
      </c>
      <c r="E492" s="1" t="s">
        <v>680</v>
      </c>
      <c r="F492" s="1" t="s">
        <v>158</v>
      </c>
      <c r="G492" s="1" t="str">
        <f>"12572900152"</f>
        <v>12572900152</v>
      </c>
      <c r="I492" s="1" t="s">
        <v>335</v>
      </c>
      <c r="L492" s="1" t="s">
        <v>43</v>
      </c>
      <c r="M492" s="1">
        <v>39589.96</v>
      </c>
      <c r="AG492" s="1">
        <v>0</v>
      </c>
      <c r="AH492" s="2">
        <v>45127</v>
      </c>
      <c r="AI492" s="2">
        <v>45626</v>
      </c>
      <c r="AJ492" s="2">
        <v>45127</v>
      </c>
    </row>
    <row r="493" spans="1:36">
      <c r="A493" s="1" t="str">
        <f>"A00A34F50C"</f>
        <v>A00A34F50C</v>
      </c>
      <c r="B493" s="1" t="str">
        <f t="shared" si="7"/>
        <v>02406911202</v>
      </c>
      <c r="C493" s="1" t="s">
        <v>13</v>
      </c>
      <c r="D493" s="1" t="s">
        <v>167</v>
      </c>
      <c r="E493" s="1" t="s">
        <v>681</v>
      </c>
      <c r="F493" s="1" t="s">
        <v>151</v>
      </c>
      <c r="G493" s="1" t="str">
        <f>"03663160962"</f>
        <v>03663160962</v>
      </c>
      <c r="I493" s="1" t="s">
        <v>682</v>
      </c>
      <c r="L493" s="1" t="s">
        <v>43</v>
      </c>
      <c r="M493" s="1">
        <v>5714006.7699999996</v>
      </c>
      <c r="AG493" s="1">
        <v>202133.76000000001</v>
      </c>
      <c r="AH493" s="2">
        <v>45170</v>
      </c>
      <c r="AI493" s="2">
        <v>46022</v>
      </c>
      <c r="AJ493" s="2">
        <v>45170</v>
      </c>
    </row>
    <row r="494" spans="1:36">
      <c r="A494" s="1" t="str">
        <f>"Z563C617F3"</f>
        <v>Z563C617F3</v>
      </c>
      <c r="B494" s="1" t="str">
        <f t="shared" si="7"/>
        <v>02406911202</v>
      </c>
      <c r="C494" s="1" t="s">
        <v>13</v>
      </c>
      <c r="D494" s="1" t="s">
        <v>164</v>
      </c>
      <c r="E494" s="1" t="s">
        <v>683</v>
      </c>
      <c r="F494" s="1" t="s">
        <v>158</v>
      </c>
      <c r="G494" s="1" t="str">
        <f>"01408650511"</f>
        <v>01408650511</v>
      </c>
      <c r="I494" s="1" t="s">
        <v>684</v>
      </c>
      <c r="L494" s="1" t="s">
        <v>43</v>
      </c>
      <c r="M494" s="1">
        <v>1848</v>
      </c>
      <c r="AG494" s="1">
        <v>1848</v>
      </c>
      <c r="AH494" s="2">
        <v>45207</v>
      </c>
      <c r="AI494" s="2">
        <v>45572</v>
      </c>
      <c r="AJ494" s="2">
        <v>45207</v>
      </c>
    </row>
    <row r="495" spans="1:36">
      <c r="A495" s="1" t="str">
        <f>"ZD53C46F52"</f>
        <v>ZD53C46F52</v>
      </c>
      <c r="B495" s="1" t="str">
        <f t="shared" si="7"/>
        <v>02406911202</v>
      </c>
      <c r="C495" s="1" t="s">
        <v>13</v>
      </c>
      <c r="D495" s="1" t="s">
        <v>180</v>
      </c>
      <c r="E495" s="1" t="s">
        <v>220</v>
      </c>
      <c r="F495" s="1" t="s">
        <v>158</v>
      </c>
      <c r="G495" s="1" t="str">
        <f>"00881470249"</f>
        <v>00881470249</v>
      </c>
      <c r="I495" s="1" t="s">
        <v>685</v>
      </c>
      <c r="L495" s="1" t="s">
        <v>43</v>
      </c>
      <c r="M495" s="1">
        <v>5000</v>
      </c>
      <c r="AG495" s="1">
        <v>1200</v>
      </c>
      <c r="AH495" s="2">
        <v>45181</v>
      </c>
      <c r="AI495" s="2">
        <v>45291</v>
      </c>
      <c r="AJ495" s="2">
        <v>45181</v>
      </c>
    </row>
    <row r="496" spans="1:36">
      <c r="A496" s="1" t="str">
        <f>"Z843C75C23"</f>
        <v>Z843C75C23</v>
      </c>
      <c r="B496" s="1" t="str">
        <f t="shared" si="7"/>
        <v>02406911202</v>
      </c>
      <c r="C496" s="1" t="s">
        <v>13</v>
      </c>
      <c r="D496" s="1" t="s">
        <v>186</v>
      </c>
      <c r="E496" s="1" t="s">
        <v>686</v>
      </c>
      <c r="F496" s="1" t="s">
        <v>158</v>
      </c>
      <c r="G496" s="1" t="str">
        <f>"02236190233"</f>
        <v>02236190233</v>
      </c>
      <c r="I496" s="1" t="s">
        <v>325</v>
      </c>
      <c r="L496" s="1" t="s">
        <v>43</v>
      </c>
      <c r="M496" s="1">
        <v>4999</v>
      </c>
      <c r="AG496" s="1">
        <v>2362</v>
      </c>
      <c r="AH496" s="2">
        <v>45183</v>
      </c>
      <c r="AI496" s="2">
        <v>46022</v>
      </c>
      <c r="AJ496" s="2">
        <v>45183</v>
      </c>
    </row>
    <row r="497" spans="1:36">
      <c r="A497" s="1" t="str">
        <f>"Z433C7E683"</f>
        <v>Z433C7E683</v>
      </c>
      <c r="B497" s="1" t="str">
        <f t="shared" si="7"/>
        <v>02406911202</v>
      </c>
      <c r="C497" s="1" t="s">
        <v>13</v>
      </c>
      <c r="D497" s="1" t="s">
        <v>180</v>
      </c>
      <c r="E497" s="1" t="s">
        <v>281</v>
      </c>
      <c r="F497" s="1" t="s">
        <v>158</v>
      </c>
      <c r="G497" s="1" t="str">
        <f>"07747160153"</f>
        <v>07747160153</v>
      </c>
      <c r="I497" s="1" t="s">
        <v>446</v>
      </c>
      <c r="L497" s="1" t="s">
        <v>43</v>
      </c>
      <c r="M497" s="1">
        <v>6000</v>
      </c>
      <c r="AG497" s="1">
        <v>6005</v>
      </c>
      <c r="AH497" s="2">
        <v>45187</v>
      </c>
      <c r="AI497" s="2">
        <v>45291</v>
      </c>
      <c r="AJ497" s="2">
        <v>45187</v>
      </c>
    </row>
    <row r="498" spans="1:36">
      <c r="A498" s="1" t="str">
        <f>"Z5D3C7E6A8"</f>
        <v>Z5D3C7E6A8</v>
      </c>
      <c r="B498" s="1" t="str">
        <f t="shared" si="7"/>
        <v>02406911202</v>
      </c>
      <c r="C498" s="1" t="s">
        <v>13</v>
      </c>
      <c r="D498" s="1" t="s">
        <v>180</v>
      </c>
      <c r="E498" s="1" t="s">
        <v>281</v>
      </c>
      <c r="F498" s="1" t="s">
        <v>158</v>
      </c>
      <c r="G498" s="1" t="str">
        <f>"00514240142"</f>
        <v>00514240142</v>
      </c>
      <c r="I498" s="1" t="s">
        <v>492</v>
      </c>
      <c r="L498" s="1" t="s">
        <v>43</v>
      </c>
      <c r="M498" s="1">
        <v>6000</v>
      </c>
      <c r="AG498" s="1">
        <v>6189.6</v>
      </c>
      <c r="AH498" s="2">
        <v>45187</v>
      </c>
      <c r="AI498" s="2">
        <v>45291</v>
      </c>
      <c r="AJ498" s="2">
        <v>45187</v>
      </c>
    </row>
    <row r="499" spans="1:36">
      <c r="A499" s="1" t="str">
        <f>"A00682B71F"</f>
        <v>A00682B71F</v>
      </c>
      <c r="B499" s="1" t="str">
        <f t="shared" si="7"/>
        <v>02406911202</v>
      </c>
      <c r="C499" s="1" t="s">
        <v>13</v>
      </c>
      <c r="D499" s="1" t="s">
        <v>167</v>
      </c>
      <c r="E499" s="1" t="s">
        <v>687</v>
      </c>
      <c r="F499" s="1" t="s">
        <v>39</v>
      </c>
      <c r="G499" s="1" t="str">
        <f>"02402870220"</f>
        <v>02402870220</v>
      </c>
      <c r="I499" s="1" t="s">
        <v>688</v>
      </c>
      <c r="L499" s="1" t="s">
        <v>43</v>
      </c>
      <c r="M499" s="1">
        <v>88000</v>
      </c>
      <c r="AG499" s="1">
        <v>52799.98</v>
      </c>
      <c r="AH499" s="2">
        <v>45170</v>
      </c>
      <c r="AI499" s="2">
        <v>45291</v>
      </c>
      <c r="AJ499" s="2">
        <v>45170</v>
      </c>
    </row>
    <row r="500" spans="1:36">
      <c r="A500" s="1" t="str">
        <f>"Z423C84072"</f>
        <v>Z423C84072</v>
      </c>
      <c r="B500" s="1" t="str">
        <f t="shared" si="7"/>
        <v>02406911202</v>
      </c>
      <c r="C500" s="1" t="s">
        <v>13</v>
      </c>
      <c r="D500" s="1" t="s">
        <v>180</v>
      </c>
      <c r="E500" s="1" t="s">
        <v>296</v>
      </c>
      <c r="F500" s="1" t="s">
        <v>158</v>
      </c>
      <c r="G500" s="1" t="str">
        <f>"10994940152"</f>
        <v>10994940152</v>
      </c>
      <c r="I500" s="1" t="s">
        <v>209</v>
      </c>
      <c r="L500" s="1" t="s">
        <v>43</v>
      </c>
      <c r="M500" s="1">
        <v>5000</v>
      </c>
      <c r="AG500" s="1">
        <v>1638</v>
      </c>
      <c r="AH500" s="2">
        <v>45189</v>
      </c>
      <c r="AI500" s="2">
        <v>45291</v>
      </c>
      <c r="AJ500" s="2">
        <v>45189</v>
      </c>
    </row>
    <row r="501" spans="1:36">
      <c r="A501" s="1" t="str">
        <f>"Z563C3E915"</f>
        <v>Z563C3E915</v>
      </c>
      <c r="B501" s="1" t="str">
        <f t="shared" si="7"/>
        <v>02406911202</v>
      </c>
      <c r="C501" s="1" t="s">
        <v>13</v>
      </c>
      <c r="D501" s="1" t="s">
        <v>186</v>
      </c>
      <c r="E501" s="1" t="s">
        <v>689</v>
      </c>
      <c r="F501" s="1" t="s">
        <v>158</v>
      </c>
      <c r="G501" s="1" t="str">
        <f>"04015790407"</f>
        <v>04015790407</v>
      </c>
      <c r="I501" s="1" t="s">
        <v>618</v>
      </c>
      <c r="L501" s="1" t="s">
        <v>43</v>
      </c>
      <c r="M501" s="1">
        <v>23409</v>
      </c>
      <c r="AG501" s="1">
        <v>340</v>
      </c>
      <c r="AH501" s="2">
        <v>45189</v>
      </c>
      <c r="AI501" s="2">
        <v>45930</v>
      </c>
      <c r="AJ501" s="2">
        <v>45189</v>
      </c>
    </row>
    <row r="502" spans="1:36">
      <c r="A502" s="1" t="str">
        <f>"93106249FA"</f>
        <v>93106249FA</v>
      </c>
      <c r="B502" s="1" t="str">
        <f t="shared" si="7"/>
        <v>02406911202</v>
      </c>
      <c r="C502" s="1" t="s">
        <v>13</v>
      </c>
      <c r="D502" s="1" t="s">
        <v>167</v>
      </c>
      <c r="E502" s="1" t="s">
        <v>690</v>
      </c>
      <c r="F502" s="1" t="s">
        <v>39</v>
      </c>
      <c r="G502" s="1" t="str">
        <f>"04311220265"</f>
        <v>04311220265</v>
      </c>
      <c r="I502" s="1" t="s">
        <v>362</v>
      </c>
      <c r="L502" s="1" t="s">
        <v>43</v>
      </c>
      <c r="M502" s="1">
        <v>76800</v>
      </c>
      <c r="AG502" s="1">
        <v>455.1</v>
      </c>
      <c r="AH502" s="2">
        <v>45190</v>
      </c>
      <c r="AI502" s="2">
        <v>47017</v>
      </c>
      <c r="AJ502" s="2">
        <v>45190</v>
      </c>
    </row>
    <row r="503" spans="1:36">
      <c r="A503" s="1" t="str">
        <f>"Z003C8D360"</f>
        <v>Z003C8D360</v>
      </c>
      <c r="B503" s="1" t="str">
        <f t="shared" si="7"/>
        <v>02406911202</v>
      </c>
      <c r="C503" s="1" t="s">
        <v>13</v>
      </c>
      <c r="D503" s="1" t="s">
        <v>180</v>
      </c>
      <c r="E503" s="1" t="s">
        <v>281</v>
      </c>
      <c r="F503" s="1" t="s">
        <v>158</v>
      </c>
      <c r="G503" s="1" t="str">
        <f>"07747160153"</f>
        <v>07747160153</v>
      </c>
      <c r="I503" s="1" t="s">
        <v>446</v>
      </c>
      <c r="L503" s="1" t="s">
        <v>43</v>
      </c>
      <c r="M503" s="1">
        <v>6000</v>
      </c>
      <c r="AG503" s="1">
        <v>6550</v>
      </c>
      <c r="AH503" s="2">
        <v>45191</v>
      </c>
      <c r="AI503" s="2">
        <v>45291</v>
      </c>
      <c r="AJ503" s="2">
        <v>45191</v>
      </c>
    </row>
    <row r="504" spans="1:36">
      <c r="A504" s="1" t="str">
        <f>"Z7C3C8D56C"</f>
        <v>Z7C3C8D56C</v>
      </c>
      <c r="B504" s="1" t="str">
        <f t="shared" si="7"/>
        <v>02406911202</v>
      </c>
      <c r="C504" s="1" t="s">
        <v>13</v>
      </c>
      <c r="D504" s="1" t="s">
        <v>180</v>
      </c>
      <c r="E504" s="1" t="s">
        <v>181</v>
      </c>
      <c r="F504" s="1" t="s">
        <v>158</v>
      </c>
      <c r="H504" s="1" t="str">
        <f>"106883221"</f>
        <v>106883221</v>
      </c>
      <c r="I504" s="1" t="s">
        <v>544</v>
      </c>
      <c r="L504" s="1" t="s">
        <v>43</v>
      </c>
      <c r="M504" s="1">
        <v>6000</v>
      </c>
      <c r="AG504" s="1">
        <v>6369</v>
      </c>
      <c r="AH504" s="2">
        <v>45191</v>
      </c>
      <c r="AI504" s="2">
        <v>45291</v>
      </c>
      <c r="AJ504" s="2">
        <v>45191</v>
      </c>
    </row>
    <row r="505" spans="1:36">
      <c r="A505" s="1" t="str">
        <f>"Z873BE00AE"</f>
        <v>Z873BE00AE</v>
      </c>
      <c r="B505" s="1" t="str">
        <f t="shared" si="7"/>
        <v>02406911202</v>
      </c>
      <c r="C505" s="1" t="s">
        <v>13</v>
      </c>
      <c r="D505" s="1" t="s">
        <v>180</v>
      </c>
      <c r="E505" s="1" t="s">
        <v>691</v>
      </c>
      <c r="F505" s="1" t="s">
        <v>158</v>
      </c>
      <c r="G505" s="1" t="str">
        <f>"00674840152"</f>
        <v>00674840152</v>
      </c>
      <c r="I505" s="1" t="s">
        <v>87</v>
      </c>
      <c r="L505" s="1" t="s">
        <v>43</v>
      </c>
      <c r="M505" s="1">
        <v>6000</v>
      </c>
      <c r="AG505" s="1">
        <v>5983.6</v>
      </c>
      <c r="AH505" s="2">
        <v>45121</v>
      </c>
      <c r="AI505" s="2">
        <v>45291</v>
      </c>
      <c r="AJ505" s="2">
        <v>45121</v>
      </c>
    </row>
    <row r="506" spans="1:36">
      <c r="A506" s="1" t="str">
        <f>"9892617DCA"</f>
        <v>9892617DCA</v>
      </c>
      <c r="B506" s="1" t="str">
        <f t="shared" si="7"/>
        <v>02406911202</v>
      </c>
      <c r="C506" s="1" t="s">
        <v>13</v>
      </c>
      <c r="D506" s="1" t="s">
        <v>167</v>
      </c>
      <c r="E506" s="1" t="s">
        <v>692</v>
      </c>
      <c r="F506" s="1" t="s">
        <v>39</v>
      </c>
      <c r="G506" s="1" t="str">
        <f>"01153330426"</f>
        <v>01153330426</v>
      </c>
      <c r="I506" s="1" t="s">
        <v>693</v>
      </c>
      <c r="L506" s="1" t="s">
        <v>43</v>
      </c>
      <c r="M506" s="1">
        <v>10500</v>
      </c>
      <c r="AG506" s="1">
        <v>0</v>
      </c>
      <c r="AH506" s="2">
        <v>45120</v>
      </c>
      <c r="AI506" s="2">
        <v>45291</v>
      </c>
      <c r="AJ506" s="2">
        <v>45120</v>
      </c>
    </row>
    <row r="507" spans="1:36">
      <c r="A507" s="1" t="str">
        <f>"ZC23C27724"</f>
        <v>ZC23C27724</v>
      </c>
      <c r="B507" s="1" t="str">
        <f t="shared" si="7"/>
        <v>02406911202</v>
      </c>
      <c r="C507" s="1" t="s">
        <v>13</v>
      </c>
      <c r="D507" s="1" t="s">
        <v>180</v>
      </c>
      <c r="E507" s="1" t="s">
        <v>181</v>
      </c>
      <c r="F507" s="1" t="s">
        <v>158</v>
      </c>
      <c r="G507" s="1" t="str">
        <f>"00492340583"</f>
        <v>00492340583</v>
      </c>
      <c r="I507" s="1" t="s">
        <v>56</v>
      </c>
      <c r="L507" s="1" t="s">
        <v>43</v>
      </c>
      <c r="M507" s="1">
        <v>5000</v>
      </c>
      <c r="AG507" s="1">
        <v>5662.2</v>
      </c>
      <c r="AH507" s="2">
        <v>45146</v>
      </c>
      <c r="AI507" s="2">
        <v>45291</v>
      </c>
      <c r="AJ507" s="2">
        <v>45146</v>
      </c>
    </row>
    <row r="508" spans="1:36">
      <c r="A508" s="1" t="str">
        <f>"Z1A3C3C066"</f>
        <v>Z1A3C3C066</v>
      </c>
      <c r="B508" s="1" t="str">
        <f t="shared" si="7"/>
        <v>02406911202</v>
      </c>
      <c r="C508" s="1" t="s">
        <v>13</v>
      </c>
      <c r="D508" s="1" t="s">
        <v>180</v>
      </c>
      <c r="E508" s="1" t="s">
        <v>185</v>
      </c>
      <c r="F508" s="1" t="s">
        <v>158</v>
      </c>
      <c r="G508" s="1" t="str">
        <f>"02158490595"</f>
        <v>02158490595</v>
      </c>
      <c r="I508" s="1" t="s">
        <v>694</v>
      </c>
      <c r="L508" s="1" t="s">
        <v>43</v>
      </c>
      <c r="M508" s="1">
        <v>5000</v>
      </c>
      <c r="AG508" s="1">
        <v>4548.8</v>
      </c>
      <c r="AH508" s="2">
        <v>45161</v>
      </c>
      <c r="AI508" s="2">
        <v>45291</v>
      </c>
      <c r="AJ508" s="2">
        <v>45161</v>
      </c>
    </row>
    <row r="509" spans="1:36">
      <c r="A509" s="1" t="str">
        <f>"A0089D7094"</f>
        <v>A0089D7094</v>
      </c>
      <c r="B509" s="1" t="str">
        <f t="shared" si="7"/>
        <v>02406911202</v>
      </c>
      <c r="C509" s="1" t="s">
        <v>13</v>
      </c>
      <c r="D509" s="1" t="s">
        <v>167</v>
      </c>
      <c r="E509" s="1" t="s">
        <v>695</v>
      </c>
      <c r="F509" s="1" t="s">
        <v>39</v>
      </c>
      <c r="G509" s="1" t="str">
        <f>"00422760587"</f>
        <v>00422760587</v>
      </c>
      <c r="I509" s="1" t="s">
        <v>94</v>
      </c>
      <c r="L509" s="1" t="s">
        <v>43</v>
      </c>
      <c r="M509" s="1">
        <v>406849.4</v>
      </c>
      <c r="AG509" s="1">
        <v>50590.35</v>
      </c>
      <c r="AH509" s="2">
        <v>45173</v>
      </c>
      <c r="AI509" s="2">
        <v>45565</v>
      </c>
      <c r="AJ509" s="2">
        <v>45173</v>
      </c>
    </row>
    <row r="510" spans="1:36">
      <c r="A510" s="1" t="str">
        <f>"Z303C47FA3"</f>
        <v>Z303C47FA3</v>
      </c>
      <c r="B510" s="1" t="str">
        <f t="shared" si="7"/>
        <v>02406911202</v>
      </c>
      <c r="C510" s="1" t="s">
        <v>13</v>
      </c>
      <c r="D510" s="1" t="s">
        <v>167</v>
      </c>
      <c r="E510" s="1" t="s">
        <v>696</v>
      </c>
      <c r="F510" s="1" t="s">
        <v>39</v>
      </c>
      <c r="G510" s="1" t="str">
        <f>"11116290153"</f>
        <v>11116290153</v>
      </c>
      <c r="I510" s="1" t="s">
        <v>96</v>
      </c>
      <c r="L510" s="1" t="s">
        <v>43</v>
      </c>
      <c r="M510" s="1">
        <v>8080</v>
      </c>
      <c r="AG510" s="1">
        <v>0</v>
      </c>
      <c r="AH510" s="2">
        <v>45173</v>
      </c>
      <c r="AI510" s="2">
        <v>45291</v>
      </c>
      <c r="AJ510" s="2">
        <v>45173</v>
      </c>
    </row>
    <row r="511" spans="1:36">
      <c r="A511" s="1" t="str">
        <f>"Z633C0B403"</f>
        <v>Z633C0B403</v>
      </c>
      <c r="B511" s="1" t="str">
        <f t="shared" si="7"/>
        <v>02406911202</v>
      </c>
      <c r="C511" s="1" t="s">
        <v>13</v>
      </c>
      <c r="D511" s="1" t="s">
        <v>180</v>
      </c>
      <c r="E511" s="1" t="s">
        <v>181</v>
      </c>
      <c r="F511" s="1" t="s">
        <v>158</v>
      </c>
      <c r="G511" s="1" t="str">
        <f>"01286700487"</f>
        <v>01286700487</v>
      </c>
      <c r="I511" s="1" t="s">
        <v>652</v>
      </c>
      <c r="L511" s="1" t="s">
        <v>43</v>
      </c>
      <c r="M511" s="1">
        <v>6000</v>
      </c>
      <c r="AG511" s="1">
        <v>5593</v>
      </c>
      <c r="AH511" s="2">
        <v>45154</v>
      </c>
      <c r="AI511" s="2">
        <v>45291</v>
      </c>
      <c r="AJ511" s="2">
        <v>45154</v>
      </c>
    </row>
    <row r="512" spans="1:36">
      <c r="A512" s="1" t="str">
        <f>"Z4B3C35ED0"</f>
        <v>Z4B3C35ED0</v>
      </c>
      <c r="B512" s="1" t="str">
        <f t="shared" si="7"/>
        <v>02406911202</v>
      </c>
      <c r="C512" s="1" t="s">
        <v>13</v>
      </c>
      <c r="D512" s="1" t="s">
        <v>180</v>
      </c>
      <c r="E512" s="1" t="s">
        <v>296</v>
      </c>
      <c r="F512" s="1" t="s">
        <v>158</v>
      </c>
      <c r="G512" s="1" t="str">
        <f>"11575580151"</f>
        <v>11575580151</v>
      </c>
      <c r="I512" s="1" t="s">
        <v>127</v>
      </c>
      <c r="L512" s="1" t="s">
        <v>43</v>
      </c>
      <c r="M512" s="1">
        <v>6000</v>
      </c>
      <c r="AG512" s="1">
        <v>6072</v>
      </c>
      <c r="AH512" s="2">
        <v>45156</v>
      </c>
      <c r="AI512" s="2">
        <v>45291</v>
      </c>
      <c r="AJ512" s="2">
        <v>45156</v>
      </c>
    </row>
    <row r="513" spans="1:36">
      <c r="A513" s="1" t="str">
        <f>"Z953C35F26"</f>
        <v>Z953C35F26</v>
      </c>
      <c r="B513" s="1" t="str">
        <f t="shared" si="7"/>
        <v>02406911202</v>
      </c>
      <c r="C513" s="1" t="s">
        <v>13</v>
      </c>
      <c r="D513" s="1" t="s">
        <v>186</v>
      </c>
      <c r="E513" s="1" t="s">
        <v>697</v>
      </c>
      <c r="F513" s="1" t="s">
        <v>158</v>
      </c>
      <c r="G513" s="1" t="str">
        <f>"02227081201"</f>
        <v>02227081201</v>
      </c>
      <c r="I513" s="1" t="s">
        <v>698</v>
      </c>
      <c r="L513" s="1" t="s">
        <v>43</v>
      </c>
      <c r="M513" s="1">
        <v>1227</v>
      </c>
      <c r="AG513" s="1">
        <v>1227</v>
      </c>
      <c r="AH513" s="2">
        <v>45108</v>
      </c>
      <c r="AI513" s="2">
        <v>45156</v>
      </c>
      <c r="AJ513" s="2">
        <v>45108</v>
      </c>
    </row>
    <row r="514" spans="1:36">
      <c r="A514" s="1" t="str">
        <f>"Z493C42840"</f>
        <v>Z493C42840</v>
      </c>
      <c r="B514" s="1" t="str">
        <f t="shared" ref="B514:B577" si="8">"02406911202"</f>
        <v>02406911202</v>
      </c>
      <c r="C514" s="1" t="s">
        <v>13</v>
      </c>
      <c r="D514" s="1" t="s">
        <v>180</v>
      </c>
      <c r="E514" s="1" t="s">
        <v>296</v>
      </c>
      <c r="F514" s="1" t="s">
        <v>158</v>
      </c>
      <c r="G514" s="1" t="str">
        <f>"00207810284"</f>
        <v>00207810284</v>
      </c>
      <c r="I514" s="1" t="s">
        <v>699</v>
      </c>
      <c r="L514" s="1" t="s">
        <v>43</v>
      </c>
      <c r="M514" s="1">
        <v>6000</v>
      </c>
      <c r="AG514" s="1">
        <v>2366</v>
      </c>
      <c r="AH514" s="2">
        <v>45163</v>
      </c>
      <c r="AI514" s="2">
        <v>45657</v>
      </c>
      <c r="AJ514" s="2">
        <v>45163</v>
      </c>
    </row>
    <row r="515" spans="1:36">
      <c r="A515" s="1" t="str">
        <f>"Z133C42867"</f>
        <v>Z133C42867</v>
      </c>
      <c r="B515" s="1" t="str">
        <f t="shared" si="8"/>
        <v>02406911202</v>
      </c>
      <c r="C515" s="1" t="s">
        <v>13</v>
      </c>
      <c r="D515" s="1" t="s">
        <v>180</v>
      </c>
      <c r="E515" s="1" t="s">
        <v>296</v>
      </c>
      <c r="F515" s="1" t="s">
        <v>158</v>
      </c>
      <c r="G515" s="1" t="str">
        <f>"08548300154"</f>
        <v>08548300154</v>
      </c>
      <c r="I515" s="1" t="s">
        <v>700</v>
      </c>
      <c r="L515" s="1" t="s">
        <v>43</v>
      </c>
      <c r="M515" s="1">
        <v>5000</v>
      </c>
      <c r="AG515" s="1">
        <v>260</v>
      </c>
      <c r="AH515" s="2">
        <v>45163</v>
      </c>
      <c r="AI515" s="2">
        <v>45291</v>
      </c>
      <c r="AJ515" s="2">
        <v>45163</v>
      </c>
    </row>
    <row r="516" spans="1:36">
      <c r="A516" s="1" t="str">
        <f>"Z223C486A6"</f>
        <v>Z223C486A6</v>
      </c>
      <c r="B516" s="1" t="str">
        <f t="shared" si="8"/>
        <v>02406911202</v>
      </c>
      <c r="C516" s="1" t="s">
        <v>13</v>
      </c>
      <c r="D516" s="1" t="s">
        <v>180</v>
      </c>
      <c r="E516" s="1" t="s">
        <v>281</v>
      </c>
      <c r="F516" s="1" t="s">
        <v>158</v>
      </c>
      <c r="G516" s="1" t="str">
        <f>"00514240142"</f>
        <v>00514240142</v>
      </c>
      <c r="I516" s="1" t="s">
        <v>492</v>
      </c>
      <c r="L516" s="1" t="s">
        <v>43</v>
      </c>
      <c r="M516" s="1">
        <v>6000</v>
      </c>
      <c r="AG516" s="1">
        <v>6314.25</v>
      </c>
      <c r="AH516" s="2">
        <v>45167</v>
      </c>
      <c r="AI516" s="2">
        <v>45291</v>
      </c>
      <c r="AJ516" s="2">
        <v>45167</v>
      </c>
    </row>
    <row r="517" spans="1:36">
      <c r="A517" s="1" t="str">
        <f>"ZB03C4BAA6"</f>
        <v>ZB03C4BAA6</v>
      </c>
      <c r="B517" s="1" t="str">
        <f t="shared" si="8"/>
        <v>02406911202</v>
      </c>
      <c r="C517" s="1" t="s">
        <v>13</v>
      </c>
      <c r="D517" s="1" t="s">
        <v>180</v>
      </c>
      <c r="E517" s="1" t="s">
        <v>701</v>
      </c>
      <c r="F517" s="1" t="s">
        <v>158</v>
      </c>
      <c r="G517" s="1" t="str">
        <f>"07484470153"</f>
        <v>07484470153</v>
      </c>
      <c r="I517" s="1" t="s">
        <v>702</v>
      </c>
      <c r="L517" s="1" t="s">
        <v>43</v>
      </c>
      <c r="M517" s="1">
        <v>5000</v>
      </c>
      <c r="AG517" s="1">
        <v>2933</v>
      </c>
      <c r="AH517" s="2">
        <v>45168</v>
      </c>
      <c r="AI517" s="2">
        <v>45291</v>
      </c>
      <c r="AJ517" s="2">
        <v>45168</v>
      </c>
    </row>
    <row r="518" spans="1:36">
      <c r="A518" s="1" t="str">
        <f>"Z643C4E003"</f>
        <v>Z643C4E003</v>
      </c>
      <c r="B518" s="1" t="str">
        <f t="shared" si="8"/>
        <v>02406911202</v>
      </c>
      <c r="C518" s="1" t="s">
        <v>13</v>
      </c>
      <c r="D518" s="1" t="s">
        <v>180</v>
      </c>
      <c r="E518" s="1" t="s">
        <v>703</v>
      </c>
      <c r="F518" s="1" t="s">
        <v>158</v>
      </c>
      <c r="G518" s="1" t="str">
        <f>"07862510018"</f>
        <v>07862510018</v>
      </c>
      <c r="I518" s="1" t="s">
        <v>330</v>
      </c>
      <c r="L518" s="1" t="s">
        <v>43</v>
      </c>
      <c r="M518" s="1">
        <v>5000</v>
      </c>
      <c r="AG518" s="1">
        <v>4988.6000000000004</v>
      </c>
      <c r="AH518" s="2">
        <v>45162</v>
      </c>
      <c r="AI518" s="2">
        <v>45291</v>
      </c>
      <c r="AJ518" s="2">
        <v>45162</v>
      </c>
    </row>
    <row r="519" spans="1:36">
      <c r="A519" s="1" t="str">
        <f>"Z553C4E3D0"</f>
        <v>Z553C4E3D0</v>
      </c>
      <c r="B519" s="1" t="str">
        <f t="shared" si="8"/>
        <v>02406911202</v>
      </c>
      <c r="C519" s="1" t="s">
        <v>13</v>
      </c>
      <c r="D519" s="1" t="s">
        <v>164</v>
      </c>
      <c r="E519" s="1" t="s">
        <v>704</v>
      </c>
      <c r="F519" s="1" t="s">
        <v>158</v>
      </c>
      <c r="G519" s="1" t="str">
        <f>"02376321200"</f>
        <v>02376321200</v>
      </c>
      <c r="I519" s="1" t="s">
        <v>376</v>
      </c>
      <c r="L519" s="1" t="s">
        <v>43</v>
      </c>
      <c r="M519" s="1">
        <v>907</v>
      </c>
      <c r="AG519" s="1">
        <v>907</v>
      </c>
      <c r="AH519" s="2">
        <v>45169</v>
      </c>
      <c r="AI519" s="2">
        <v>45291</v>
      </c>
      <c r="AJ519" s="2">
        <v>45169</v>
      </c>
    </row>
    <row r="520" spans="1:36">
      <c r="A520" s="1" t="str">
        <f>"Z383C0BC08"</f>
        <v>Z383C0BC08</v>
      </c>
      <c r="B520" s="1" t="str">
        <f t="shared" si="8"/>
        <v>02406911202</v>
      </c>
      <c r="C520" s="1" t="s">
        <v>13</v>
      </c>
      <c r="D520" s="1" t="s">
        <v>186</v>
      </c>
      <c r="E520" s="1" t="s">
        <v>705</v>
      </c>
      <c r="F520" s="1" t="s">
        <v>158</v>
      </c>
      <c r="G520" s="1" t="str">
        <f>"01228210371"</f>
        <v>01228210371</v>
      </c>
      <c r="I520" s="1" t="s">
        <v>504</v>
      </c>
      <c r="L520" s="1" t="s">
        <v>43</v>
      </c>
      <c r="M520" s="1">
        <v>37660</v>
      </c>
      <c r="AG520" s="1">
        <v>2324.16</v>
      </c>
      <c r="AH520" s="2">
        <v>45173</v>
      </c>
      <c r="AI520" s="2">
        <v>45535</v>
      </c>
      <c r="AJ520" s="2">
        <v>45173</v>
      </c>
    </row>
    <row r="521" spans="1:36">
      <c r="A521" s="1" t="str">
        <f>"Z2B3BDC591"</f>
        <v>Z2B3BDC591</v>
      </c>
      <c r="B521" s="1" t="str">
        <f t="shared" si="8"/>
        <v>02406911202</v>
      </c>
      <c r="C521" s="1" t="s">
        <v>13</v>
      </c>
      <c r="D521" s="1" t="s">
        <v>180</v>
      </c>
      <c r="E521" s="1" t="s">
        <v>220</v>
      </c>
      <c r="F521" s="1" t="s">
        <v>158</v>
      </c>
      <c r="G521" s="1" t="str">
        <f>"03830250712"</f>
        <v>03830250712</v>
      </c>
      <c r="I521" s="1" t="s">
        <v>706</v>
      </c>
      <c r="L521" s="1" t="s">
        <v>43</v>
      </c>
      <c r="M521" s="1">
        <v>5000</v>
      </c>
      <c r="AG521" s="1">
        <v>5240.7</v>
      </c>
      <c r="AH521" s="2">
        <v>45120</v>
      </c>
      <c r="AI521" s="2">
        <v>45291</v>
      </c>
      <c r="AJ521" s="2">
        <v>45120</v>
      </c>
    </row>
    <row r="522" spans="1:36">
      <c r="A522" s="1" t="str">
        <f>"Z5E3BEA718"</f>
        <v>Z5E3BEA718</v>
      </c>
      <c r="B522" s="1" t="str">
        <f t="shared" si="8"/>
        <v>02406911202</v>
      </c>
      <c r="C522" s="1" t="s">
        <v>13</v>
      </c>
      <c r="D522" s="1" t="s">
        <v>177</v>
      </c>
      <c r="E522" s="1" t="s">
        <v>707</v>
      </c>
      <c r="F522" s="1" t="s">
        <v>158</v>
      </c>
      <c r="G522" s="1" t="str">
        <f>"02606891204"</f>
        <v>02606891204</v>
      </c>
      <c r="I522" s="1" t="s">
        <v>240</v>
      </c>
      <c r="L522" s="1" t="s">
        <v>43</v>
      </c>
      <c r="M522" s="1">
        <v>908550</v>
      </c>
      <c r="AG522" s="1">
        <v>161109.15</v>
      </c>
      <c r="AH522" s="2">
        <v>45108</v>
      </c>
      <c r="AI522" s="2">
        <v>45657</v>
      </c>
      <c r="AJ522" s="2">
        <v>45108</v>
      </c>
    </row>
    <row r="523" spans="1:36">
      <c r="A523" s="1" t="str">
        <f>"Z0E3BF0635"</f>
        <v>Z0E3BF0635</v>
      </c>
      <c r="B523" s="1" t="str">
        <f t="shared" si="8"/>
        <v>02406911202</v>
      </c>
      <c r="C523" s="1" t="s">
        <v>13</v>
      </c>
      <c r="D523" s="1" t="s">
        <v>177</v>
      </c>
      <c r="E523" s="1" t="s">
        <v>708</v>
      </c>
      <c r="F523" s="1" t="s">
        <v>158</v>
      </c>
      <c r="G523" s="1" t="str">
        <f>"80063930376"</f>
        <v>80063930376</v>
      </c>
      <c r="I523" s="1" t="s">
        <v>129</v>
      </c>
      <c r="L523" s="1" t="s">
        <v>43</v>
      </c>
      <c r="M523" s="1">
        <v>489000</v>
      </c>
      <c r="AG523" s="1">
        <v>82211.850000000006</v>
      </c>
      <c r="AH523" s="2">
        <v>45108</v>
      </c>
      <c r="AI523" s="2">
        <v>45657</v>
      </c>
      <c r="AJ523" s="2">
        <v>45108</v>
      </c>
    </row>
    <row r="524" spans="1:36">
      <c r="A524" s="1" t="str">
        <f>"Z9F3C14B7D"</f>
        <v>Z9F3C14B7D</v>
      </c>
      <c r="B524" s="1" t="str">
        <f t="shared" si="8"/>
        <v>02406911202</v>
      </c>
      <c r="C524" s="1" t="s">
        <v>13</v>
      </c>
      <c r="D524" s="1" t="s">
        <v>177</v>
      </c>
      <c r="E524" s="1" t="s">
        <v>709</v>
      </c>
      <c r="F524" s="1" t="s">
        <v>158</v>
      </c>
      <c r="G524" s="1" t="str">
        <f>"02633201203"</f>
        <v>02633201203</v>
      </c>
      <c r="I524" s="1" t="s">
        <v>710</v>
      </c>
      <c r="L524" s="1" t="s">
        <v>43</v>
      </c>
      <c r="M524" s="1">
        <v>149018</v>
      </c>
      <c r="AG524" s="1">
        <v>20412.7</v>
      </c>
      <c r="AH524" s="2">
        <v>45108</v>
      </c>
      <c r="AI524" s="2">
        <v>45657</v>
      </c>
      <c r="AJ524" s="2">
        <v>45108</v>
      </c>
    </row>
    <row r="525" spans="1:36">
      <c r="A525" s="1" t="str">
        <f>"A000A9083A"</f>
        <v>A000A9083A</v>
      </c>
      <c r="B525" s="1" t="str">
        <f t="shared" si="8"/>
        <v>02406911202</v>
      </c>
      <c r="C525" s="1" t="s">
        <v>13</v>
      </c>
      <c r="D525" s="1" t="s">
        <v>167</v>
      </c>
      <c r="E525" s="1" t="s">
        <v>450</v>
      </c>
      <c r="F525" s="1" t="s">
        <v>151</v>
      </c>
      <c r="G525" s="1" t="str">
        <f>"00803890151"</f>
        <v>00803890151</v>
      </c>
      <c r="I525" s="1" t="s">
        <v>104</v>
      </c>
      <c r="L525" s="1" t="s">
        <v>43</v>
      </c>
      <c r="M525" s="1">
        <v>13750</v>
      </c>
      <c r="AG525" s="1">
        <v>8854.5</v>
      </c>
      <c r="AH525" s="2">
        <v>45139</v>
      </c>
      <c r="AI525" s="2">
        <v>45230</v>
      </c>
      <c r="AJ525" s="2">
        <v>45139</v>
      </c>
    </row>
    <row r="526" spans="1:36">
      <c r="A526" s="1" t="str">
        <f>"A000ADA54C"</f>
        <v>A000ADA54C</v>
      </c>
      <c r="B526" s="1" t="str">
        <f t="shared" si="8"/>
        <v>02406911202</v>
      </c>
      <c r="C526" s="1" t="s">
        <v>13</v>
      </c>
      <c r="D526" s="1" t="s">
        <v>167</v>
      </c>
      <c r="E526" s="1" t="s">
        <v>450</v>
      </c>
      <c r="F526" s="1" t="s">
        <v>151</v>
      </c>
      <c r="G526" s="1" t="str">
        <f>"01681100150"</f>
        <v>01681100150</v>
      </c>
      <c r="I526" s="1" t="s">
        <v>494</v>
      </c>
      <c r="L526" s="1" t="s">
        <v>43</v>
      </c>
      <c r="M526" s="1">
        <v>30000</v>
      </c>
      <c r="AG526" s="1">
        <v>7540</v>
      </c>
      <c r="AH526" s="2">
        <v>45139</v>
      </c>
      <c r="AI526" s="2">
        <v>45169</v>
      </c>
      <c r="AJ526" s="2">
        <v>45139</v>
      </c>
    </row>
    <row r="527" spans="1:36">
      <c r="A527" s="1" t="str">
        <f>"Z003C311BB"</f>
        <v>Z003C311BB</v>
      </c>
      <c r="B527" s="1" t="str">
        <f t="shared" si="8"/>
        <v>02406911202</v>
      </c>
      <c r="C527" s="1" t="s">
        <v>13</v>
      </c>
      <c r="D527" s="1" t="s">
        <v>264</v>
      </c>
      <c r="E527" s="1" t="s">
        <v>711</v>
      </c>
      <c r="F527" s="1" t="s">
        <v>158</v>
      </c>
      <c r="G527" s="1" t="str">
        <f>"00707821203"</f>
        <v>00707821203</v>
      </c>
      <c r="I527" s="1" t="s">
        <v>712</v>
      </c>
      <c r="L527" s="1" t="s">
        <v>43</v>
      </c>
      <c r="M527" s="1">
        <v>5000</v>
      </c>
      <c r="AG527" s="1">
        <v>0</v>
      </c>
      <c r="AH527" s="2">
        <v>45149</v>
      </c>
      <c r="AI527" s="2">
        <v>45291</v>
      </c>
      <c r="AJ527" s="2">
        <v>45149</v>
      </c>
    </row>
    <row r="528" spans="1:36">
      <c r="A528" s="1" t="str">
        <f>"ZD23C7E6D1"</f>
        <v>ZD23C7E6D1</v>
      </c>
      <c r="B528" s="1" t="str">
        <f t="shared" si="8"/>
        <v>02406911202</v>
      </c>
      <c r="C528" s="1" t="s">
        <v>13</v>
      </c>
      <c r="D528" s="1" t="s">
        <v>180</v>
      </c>
      <c r="E528" s="1" t="s">
        <v>281</v>
      </c>
      <c r="F528" s="1" t="s">
        <v>158</v>
      </c>
      <c r="G528" s="1" t="str">
        <f>"12572900152"</f>
        <v>12572900152</v>
      </c>
      <c r="I528" s="1" t="s">
        <v>335</v>
      </c>
      <c r="L528" s="1" t="s">
        <v>43</v>
      </c>
      <c r="M528" s="1">
        <v>6000</v>
      </c>
      <c r="AG528" s="1">
        <v>6857.2</v>
      </c>
      <c r="AH528" s="2">
        <v>45187</v>
      </c>
      <c r="AI528" s="2">
        <v>45291</v>
      </c>
      <c r="AJ528" s="2">
        <v>45187</v>
      </c>
    </row>
    <row r="529" spans="1:36">
      <c r="A529" s="1" t="str">
        <f>"9963979795"</f>
        <v>9963979795</v>
      </c>
      <c r="B529" s="1" t="str">
        <f t="shared" si="8"/>
        <v>02406911202</v>
      </c>
      <c r="C529" s="1" t="s">
        <v>13</v>
      </c>
      <c r="D529" s="1" t="s">
        <v>167</v>
      </c>
      <c r="E529" s="1" t="s">
        <v>713</v>
      </c>
      <c r="F529" s="1" t="s">
        <v>151</v>
      </c>
      <c r="G529" s="1" t="str">
        <f>"11206730159"</f>
        <v>11206730159</v>
      </c>
      <c r="I529" s="1" t="s">
        <v>68</v>
      </c>
      <c r="L529" s="1" t="s">
        <v>43</v>
      </c>
      <c r="M529" s="1">
        <v>13000</v>
      </c>
      <c r="AG529" s="1">
        <v>4940</v>
      </c>
      <c r="AH529" s="2">
        <v>45122</v>
      </c>
      <c r="AI529" s="2">
        <v>45291</v>
      </c>
      <c r="AJ529" s="2">
        <v>45122</v>
      </c>
    </row>
    <row r="530" spans="1:36">
      <c r="A530" s="1" t="str">
        <f>"9964005D08"</f>
        <v>9964005D08</v>
      </c>
      <c r="B530" s="1" t="str">
        <f t="shared" si="8"/>
        <v>02406911202</v>
      </c>
      <c r="C530" s="1" t="s">
        <v>13</v>
      </c>
      <c r="D530" s="1" t="s">
        <v>167</v>
      </c>
      <c r="E530" s="1" t="s">
        <v>714</v>
      </c>
      <c r="F530" s="1" t="s">
        <v>151</v>
      </c>
      <c r="G530" s="1" t="str">
        <f>"11206730159"</f>
        <v>11206730159</v>
      </c>
      <c r="I530" s="1" t="s">
        <v>68</v>
      </c>
      <c r="L530" s="1" t="s">
        <v>43</v>
      </c>
      <c r="M530" s="1">
        <v>25000</v>
      </c>
      <c r="AG530" s="1">
        <v>0</v>
      </c>
      <c r="AH530" s="2">
        <v>45122</v>
      </c>
      <c r="AI530" s="2">
        <v>45291</v>
      </c>
      <c r="AJ530" s="2">
        <v>45122</v>
      </c>
    </row>
    <row r="531" spans="1:36">
      <c r="A531" s="1" t="str">
        <f>"Z993BF8DB8"</f>
        <v>Z993BF8DB8</v>
      </c>
      <c r="B531" s="1" t="str">
        <f t="shared" si="8"/>
        <v>02406911202</v>
      </c>
      <c r="C531" s="1" t="s">
        <v>13</v>
      </c>
      <c r="D531" s="1" t="s">
        <v>186</v>
      </c>
      <c r="E531" s="1" t="s">
        <v>715</v>
      </c>
      <c r="F531" s="1" t="s">
        <v>158</v>
      </c>
      <c r="G531" s="1" t="str">
        <f>"01228210371"</f>
        <v>01228210371</v>
      </c>
      <c r="I531" s="1" t="s">
        <v>504</v>
      </c>
      <c r="L531" s="1" t="s">
        <v>43</v>
      </c>
      <c r="M531" s="1">
        <v>4999</v>
      </c>
      <c r="AG531" s="1">
        <v>4938.84</v>
      </c>
      <c r="AH531" s="2">
        <v>45127</v>
      </c>
      <c r="AI531" s="2">
        <v>45291</v>
      </c>
      <c r="AJ531" s="2">
        <v>45127</v>
      </c>
    </row>
    <row r="532" spans="1:36">
      <c r="A532" s="1" t="str">
        <f>"ZF63C32012"</f>
        <v>ZF63C32012</v>
      </c>
      <c r="B532" s="1" t="str">
        <f t="shared" si="8"/>
        <v>02406911202</v>
      </c>
      <c r="C532" s="1" t="s">
        <v>13</v>
      </c>
      <c r="D532" s="1" t="s">
        <v>180</v>
      </c>
      <c r="E532" s="1" t="s">
        <v>279</v>
      </c>
      <c r="F532" s="1" t="s">
        <v>158</v>
      </c>
      <c r="G532" s="1" t="str">
        <f>"04337640280"</f>
        <v>04337640280</v>
      </c>
      <c r="I532" s="1" t="s">
        <v>716</v>
      </c>
      <c r="L532" s="1" t="s">
        <v>43</v>
      </c>
      <c r="M532" s="1">
        <v>6000</v>
      </c>
      <c r="AG532" s="1">
        <v>5839.1</v>
      </c>
      <c r="AH532" s="2">
        <v>45152</v>
      </c>
      <c r="AI532" s="2">
        <v>45291</v>
      </c>
      <c r="AJ532" s="2">
        <v>45152</v>
      </c>
    </row>
    <row r="533" spans="1:36">
      <c r="A533" s="1" t="str">
        <f>"Z7D3C57EB9"</f>
        <v>Z7D3C57EB9</v>
      </c>
      <c r="B533" s="1" t="str">
        <f t="shared" si="8"/>
        <v>02406911202</v>
      </c>
      <c r="C533" s="1" t="s">
        <v>13</v>
      </c>
      <c r="D533" s="1" t="s">
        <v>264</v>
      </c>
      <c r="E533" s="1" t="s">
        <v>717</v>
      </c>
      <c r="F533" s="1" t="s">
        <v>158</v>
      </c>
      <c r="G533" s="1" t="str">
        <f>"01038510390"</f>
        <v>01038510390</v>
      </c>
      <c r="I533" s="1" t="s">
        <v>718</v>
      </c>
      <c r="L533" s="1" t="s">
        <v>43</v>
      </c>
      <c r="M533" s="1">
        <v>1000</v>
      </c>
      <c r="AG533" s="1">
        <v>270</v>
      </c>
      <c r="AH533" s="2">
        <v>45174</v>
      </c>
      <c r="AI533" s="2">
        <v>45291</v>
      </c>
      <c r="AJ533" s="2">
        <v>45174</v>
      </c>
    </row>
    <row r="534" spans="1:36">
      <c r="A534" s="1" t="str">
        <f>"Z713C5815F"</f>
        <v>Z713C5815F</v>
      </c>
      <c r="B534" s="1" t="str">
        <f t="shared" si="8"/>
        <v>02406911202</v>
      </c>
      <c r="C534" s="1" t="s">
        <v>13</v>
      </c>
      <c r="D534" s="1" t="s">
        <v>264</v>
      </c>
      <c r="E534" s="1" t="s">
        <v>719</v>
      </c>
      <c r="F534" s="1" t="s">
        <v>158</v>
      </c>
      <c r="G534" s="1" t="str">
        <f>"09831040150"</f>
        <v>09831040150</v>
      </c>
      <c r="I534" s="1" t="s">
        <v>720</v>
      </c>
      <c r="L534" s="1" t="s">
        <v>43</v>
      </c>
      <c r="M534" s="1">
        <v>500</v>
      </c>
      <c r="AG534" s="1">
        <v>50</v>
      </c>
      <c r="AH534" s="2">
        <v>45174</v>
      </c>
      <c r="AI534" s="2">
        <v>45291</v>
      </c>
      <c r="AJ534" s="2">
        <v>45174</v>
      </c>
    </row>
    <row r="535" spans="1:36">
      <c r="A535" s="1" t="str">
        <f>"ZFA3C590BA"</f>
        <v>ZFA3C590BA</v>
      </c>
      <c r="B535" s="1" t="str">
        <f t="shared" si="8"/>
        <v>02406911202</v>
      </c>
      <c r="C535" s="1" t="s">
        <v>13</v>
      </c>
      <c r="D535" s="1" t="s">
        <v>180</v>
      </c>
      <c r="E535" s="1" t="s">
        <v>281</v>
      </c>
      <c r="F535" s="1" t="s">
        <v>158</v>
      </c>
      <c r="G535" s="1" t="str">
        <f>"07747160153"</f>
        <v>07747160153</v>
      </c>
      <c r="I535" s="1" t="s">
        <v>446</v>
      </c>
      <c r="L535" s="1" t="s">
        <v>43</v>
      </c>
      <c r="M535" s="1">
        <v>6000</v>
      </c>
      <c r="AG535" s="1">
        <v>6100</v>
      </c>
      <c r="AH535" s="2">
        <v>45174</v>
      </c>
      <c r="AI535" s="2">
        <v>45291</v>
      </c>
      <c r="AJ535" s="2">
        <v>45174</v>
      </c>
    </row>
    <row r="536" spans="1:36">
      <c r="A536" s="1" t="str">
        <f>"Z343C59826"</f>
        <v>Z343C59826</v>
      </c>
      <c r="B536" s="1" t="str">
        <f t="shared" si="8"/>
        <v>02406911202</v>
      </c>
      <c r="C536" s="1" t="s">
        <v>13</v>
      </c>
      <c r="D536" s="1" t="s">
        <v>180</v>
      </c>
      <c r="E536" s="1" t="s">
        <v>185</v>
      </c>
      <c r="F536" s="1" t="s">
        <v>158</v>
      </c>
      <c r="G536" s="1" t="str">
        <f>"00228550273"</f>
        <v>00228550273</v>
      </c>
      <c r="I536" s="1" t="s">
        <v>201</v>
      </c>
      <c r="L536" s="1" t="s">
        <v>43</v>
      </c>
      <c r="M536" s="1">
        <v>5000</v>
      </c>
      <c r="AG536" s="1">
        <v>5276.68</v>
      </c>
      <c r="AH536" s="2">
        <v>45174</v>
      </c>
      <c r="AI536" s="2">
        <v>45291</v>
      </c>
      <c r="AJ536" s="2">
        <v>45174</v>
      </c>
    </row>
    <row r="537" spans="1:36">
      <c r="A537" s="1" t="str">
        <f>"Z743C41D4A"</f>
        <v>Z743C41D4A</v>
      </c>
      <c r="B537" s="1" t="str">
        <f t="shared" si="8"/>
        <v>02406911202</v>
      </c>
      <c r="C537" s="1" t="s">
        <v>13</v>
      </c>
      <c r="D537" s="1" t="s">
        <v>264</v>
      </c>
      <c r="E537" s="1" t="s">
        <v>721</v>
      </c>
      <c r="F537" s="1" t="s">
        <v>158</v>
      </c>
      <c r="G537" s="1" t="str">
        <f>"04707001006"</f>
        <v>04707001006</v>
      </c>
      <c r="I537" s="1" t="s">
        <v>722</v>
      </c>
      <c r="L537" s="1" t="s">
        <v>43</v>
      </c>
      <c r="M537" s="1">
        <v>1948.8</v>
      </c>
      <c r="AG537" s="1">
        <v>0</v>
      </c>
      <c r="AH537" s="2">
        <v>45163</v>
      </c>
      <c r="AI537" s="2">
        <v>45174</v>
      </c>
      <c r="AJ537" s="2">
        <v>45163</v>
      </c>
    </row>
    <row r="538" spans="1:36">
      <c r="A538" s="1" t="str">
        <f>"Z0C3C59C13"</f>
        <v>Z0C3C59C13</v>
      </c>
      <c r="B538" s="1" t="str">
        <f t="shared" si="8"/>
        <v>02406911202</v>
      </c>
      <c r="C538" s="1" t="s">
        <v>13</v>
      </c>
      <c r="D538" s="1" t="s">
        <v>264</v>
      </c>
      <c r="E538" s="1" t="s">
        <v>723</v>
      </c>
      <c r="F538" s="1" t="s">
        <v>158</v>
      </c>
      <c r="G538" s="1" t="str">
        <f>"05196071004"</f>
        <v>05196071004</v>
      </c>
      <c r="I538" s="1" t="s">
        <v>724</v>
      </c>
      <c r="L538" s="1" t="s">
        <v>43</v>
      </c>
      <c r="M538" s="1">
        <v>1425</v>
      </c>
      <c r="AG538" s="1">
        <v>0</v>
      </c>
      <c r="AH538" s="2">
        <v>45174</v>
      </c>
      <c r="AI538" s="2">
        <v>45181</v>
      </c>
      <c r="AJ538" s="2">
        <v>45174</v>
      </c>
    </row>
    <row r="539" spans="1:36">
      <c r="A539" s="1" t="str">
        <f>"Z8E3C15B7F"</f>
        <v>Z8E3C15B7F</v>
      </c>
      <c r="B539" s="1" t="str">
        <f t="shared" si="8"/>
        <v>02406911202</v>
      </c>
      <c r="C539" s="1" t="s">
        <v>13</v>
      </c>
      <c r="D539" s="1" t="s">
        <v>186</v>
      </c>
      <c r="E539" s="1" t="s">
        <v>725</v>
      </c>
      <c r="F539" s="1" t="s">
        <v>158</v>
      </c>
      <c r="G539" s="1" t="str">
        <f>"01597140282"</f>
        <v>01597140282</v>
      </c>
      <c r="I539" s="1" t="s">
        <v>598</v>
      </c>
      <c r="L539" s="1" t="s">
        <v>43</v>
      </c>
      <c r="M539" s="1">
        <v>39680</v>
      </c>
      <c r="AG539" s="1">
        <v>2624</v>
      </c>
      <c r="AH539" s="2">
        <v>45174</v>
      </c>
      <c r="AI539" s="2">
        <v>45535</v>
      </c>
      <c r="AJ539" s="2">
        <v>45174</v>
      </c>
    </row>
    <row r="540" spans="1:36">
      <c r="A540" s="1" t="str">
        <f>"Z7B3BD20D7"</f>
        <v>Z7B3BD20D7</v>
      </c>
      <c r="B540" s="1" t="str">
        <f t="shared" si="8"/>
        <v>02406911202</v>
      </c>
      <c r="C540" s="1" t="s">
        <v>13</v>
      </c>
      <c r="D540" s="1" t="s">
        <v>264</v>
      </c>
      <c r="E540" s="1" t="s">
        <v>726</v>
      </c>
      <c r="F540" s="1" t="s">
        <v>158</v>
      </c>
      <c r="G540" s="1" t="str">
        <f>"06349620960"</f>
        <v>06349620960</v>
      </c>
      <c r="I540" s="1" t="s">
        <v>727</v>
      </c>
      <c r="L540" s="1" t="s">
        <v>43</v>
      </c>
      <c r="M540" s="1">
        <v>22590.05</v>
      </c>
      <c r="AG540" s="1">
        <v>0</v>
      </c>
      <c r="AH540" s="2">
        <v>45113</v>
      </c>
      <c r="AI540" s="2">
        <v>45864</v>
      </c>
      <c r="AJ540" s="2">
        <v>45113</v>
      </c>
    </row>
    <row r="541" spans="1:36">
      <c r="A541" s="1" t="str">
        <f>"Z1E3BEFAD5"</f>
        <v>Z1E3BEFAD5</v>
      </c>
      <c r="B541" s="1" t="str">
        <f t="shared" si="8"/>
        <v>02406911202</v>
      </c>
      <c r="C541" s="1" t="s">
        <v>13</v>
      </c>
      <c r="D541" s="1" t="s">
        <v>186</v>
      </c>
      <c r="E541" s="1" t="s">
        <v>728</v>
      </c>
      <c r="F541" s="1" t="s">
        <v>158</v>
      </c>
      <c r="G541" s="1" t="str">
        <f>"08864080158"</f>
        <v>08864080158</v>
      </c>
      <c r="I541" s="1" t="s">
        <v>438</v>
      </c>
      <c r="L541" s="1" t="s">
        <v>43</v>
      </c>
      <c r="M541" s="1">
        <v>4999</v>
      </c>
      <c r="AG541" s="1">
        <v>2180.2399999999998</v>
      </c>
      <c r="AH541" s="2">
        <v>45125</v>
      </c>
      <c r="AI541" s="2">
        <v>45657</v>
      </c>
      <c r="AJ541" s="2">
        <v>45125</v>
      </c>
    </row>
    <row r="542" spans="1:36">
      <c r="A542" s="1" t="str">
        <f>"Z4E3BF67DB"</f>
        <v>Z4E3BF67DB</v>
      </c>
      <c r="B542" s="1" t="str">
        <f t="shared" si="8"/>
        <v>02406911202</v>
      </c>
      <c r="C542" s="1" t="s">
        <v>13</v>
      </c>
      <c r="D542" s="1" t="s">
        <v>180</v>
      </c>
      <c r="E542" s="1" t="s">
        <v>296</v>
      </c>
      <c r="F542" s="1" t="s">
        <v>158</v>
      </c>
      <c r="G542" s="1" t="str">
        <f>"06324460150"</f>
        <v>06324460150</v>
      </c>
      <c r="I542" s="1" t="s">
        <v>451</v>
      </c>
      <c r="L542" s="1" t="s">
        <v>43</v>
      </c>
      <c r="M542" s="1">
        <v>6000</v>
      </c>
      <c r="AG542" s="1">
        <v>5286.75</v>
      </c>
      <c r="AH542" s="2">
        <v>45127</v>
      </c>
      <c r="AI542" s="2">
        <v>45291</v>
      </c>
      <c r="AJ542" s="2">
        <v>45127</v>
      </c>
    </row>
    <row r="543" spans="1:36">
      <c r="A543" s="1" t="str">
        <f>"9950997E7D"</f>
        <v>9950997E7D</v>
      </c>
      <c r="B543" s="1" t="str">
        <f t="shared" si="8"/>
        <v>02406911202</v>
      </c>
      <c r="C543" s="1" t="s">
        <v>13</v>
      </c>
      <c r="D543" s="1" t="s">
        <v>167</v>
      </c>
      <c r="E543" s="1" t="s">
        <v>729</v>
      </c>
      <c r="F543" s="1" t="s">
        <v>151</v>
      </c>
      <c r="G543" s="1" t="str">
        <f>"00645130238"</f>
        <v>00645130238</v>
      </c>
      <c r="I543" s="1" t="s">
        <v>730</v>
      </c>
      <c r="L543" s="1" t="s">
        <v>43</v>
      </c>
      <c r="M543" s="1">
        <v>21393.45</v>
      </c>
      <c r="AG543" s="1">
        <v>10820.36</v>
      </c>
      <c r="AH543" s="2">
        <v>45108</v>
      </c>
      <c r="AI543" s="2">
        <v>45291</v>
      </c>
      <c r="AJ543" s="2">
        <v>45108</v>
      </c>
    </row>
    <row r="544" spans="1:36">
      <c r="A544" s="1" t="str">
        <f>"ZBF3BE0016"</f>
        <v>ZBF3BE0016</v>
      </c>
      <c r="B544" s="1" t="str">
        <f t="shared" si="8"/>
        <v>02406911202</v>
      </c>
      <c r="C544" s="1" t="s">
        <v>13</v>
      </c>
      <c r="D544" s="1" t="s">
        <v>180</v>
      </c>
      <c r="E544" s="1" t="s">
        <v>220</v>
      </c>
      <c r="F544" s="1" t="s">
        <v>158</v>
      </c>
      <c r="G544" s="1" t="str">
        <f>"00803890151"</f>
        <v>00803890151</v>
      </c>
      <c r="I544" s="1" t="s">
        <v>104</v>
      </c>
      <c r="L544" s="1" t="s">
        <v>43</v>
      </c>
      <c r="M544" s="1">
        <v>6000</v>
      </c>
      <c r="AG544" s="1">
        <v>5590.1</v>
      </c>
      <c r="AH544" s="2">
        <v>45127</v>
      </c>
      <c r="AI544" s="2">
        <v>45291</v>
      </c>
      <c r="AJ544" s="2">
        <v>45127</v>
      </c>
    </row>
    <row r="545" spans="1:36">
      <c r="A545" s="1" t="str">
        <f>"Z813BF6BCC"</f>
        <v>Z813BF6BCC</v>
      </c>
      <c r="B545" s="1" t="str">
        <f t="shared" si="8"/>
        <v>02406911202</v>
      </c>
      <c r="C545" s="1" t="s">
        <v>13</v>
      </c>
      <c r="D545" s="1" t="s">
        <v>180</v>
      </c>
      <c r="E545" s="1" t="s">
        <v>181</v>
      </c>
      <c r="F545" s="1" t="s">
        <v>158</v>
      </c>
      <c r="G545" s="1" t="str">
        <f>"06628701218"</f>
        <v>06628701218</v>
      </c>
      <c r="I545" s="1" t="s">
        <v>731</v>
      </c>
      <c r="L545" s="1" t="s">
        <v>43</v>
      </c>
      <c r="M545" s="1">
        <v>5000</v>
      </c>
      <c r="AG545" s="1">
        <v>3100</v>
      </c>
      <c r="AH545" s="2">
        <v>45127</v>
      </c>
      <c r="AI545" s="2">
        <v>45291</v>
      </c>
      <c r="AJ545" s="2">
        <v>45127</v>
      </c>
    </row>
    <row r="546" spans="1:36">
      <c r="A546" s="1" t="str">
        <f>"Z273BEA5FF"</f>
        <v>Z273BEA5FF</v>
      </c>
      <c r="B546" s="1" t="str">
        <f t="shared" si="8"/>
        <v>02406911202</v>
      </c>
      <c r="C546" s="1" t="s">
        <v>13</v>
      </c>
      <c r="D546" s="1" t="s">
        <v>186</v>
      </c>
      <c r="E546" s="1" t="s">
        <v>732</v>
      </c>
      <c r="F546" s="1" t="s">
        <v>158</v>
      </c>
      <c r="G546" s="1" t="str">
        <f>"00703180166"</f>
        <v>00703180166</v>
      </c>
      <c r="I546" s="1" t="s">
        <v>733</v>
      </c>
      <c r="L546" s="1" t="s">
        <v>43</v>
      </c>
      <c r="M546" s="1">
        <v>4999</v>
      </c>
      <c r="AG546" s="1">
        <v>786.45</v>
      </c>
      <c r="AH546" s="2">
        <v>45124</v>
      </c>
      <c r="AI546" s="2">
        <v>45291</v>
      </c>
      <c r="AJ546" s="2">
        <v>45124</v>
      </c>
    </row>
    <row r="547" spans="1:36">
      <c r="A547" s="1" t="str">
        <f>"Z343C0454C"</f>
        <v>Z343C0454C</v>
      </c>
      <c r="B547" s="1" t="str">
        <f t="shared" si="8"/>
        <v>02406911202</v>
      </c>
      <c r="C547" s="1" t="s">
        <v>13</v>
      </c>
      <c r="D547" s="1" t="s">
        <v>180</v>
      </c>
      <c r="E547" s="1" t="s">
        <v>220</v>
      </c>
      <c r="F547" s="1" t="s">
        <v>158</v>
      </c>
      <c r="G547" s="1" t="str">
        <f>"11159150157"</f>
        <v>11159150157</v>
      </c>
      <c r="I547" s="1" t="s">
        <v>543</v>
      </c>
      <c r="L547" s="1" t="s">
        <v>43</v>
      </c>
      <c r="M547" s="1">
        <v>5000</v>
      </c>
      <c r="AG547" s="1">
        <v>817</v>
      </c>
      <c r="AH547" s="2">
        <v>45135</v>
      </c>
      <c r="AI547" s="2">
        <v>45291</v>
      </c>
      <c r="AJ547" s="2">
        <v>45135</v>
      </c>
    </row>
    <row r="548" spans="1:36">
      <c r="A548" s="1" t="str">
        <f>"Z713C218C1"</f>
        <v>Z713C218C1</v>
      </c>
      <c r="B548" s="1" t="str">
        <f t="shared" si="8"/>
        <v>02406911202</v>
      </c>
      <c r="C548" s="1" t="s">
        <v>13</v>
      </c>
      <c r="D548" s="1" t="s">
        <v>180</v>
      </c>
      <c r="E548" s="1" t="s">
        <v>296</v>
      </c>
      <c r="F548" s="1" t="s">
        <v>158</v>
      </c>
      <c r="G548" s="1" t="str">
        <f>"10985900157"</f>
        <v>10985900157</v>
      </c>
      <c r="I548" s="1" t="s">
        <v>734</v>
      </c>
      <c r="L548" s="1" t="s">
        <v>43</v>
      </c>
      <c r="M548" s="1">
        <v>5000</v>
      </c>
      <c r="AG548" s="1">
        <v>1680</v>
      </c>
      <c r="AH548" s="2">
        <v>45142</v>
      </c>
      <c r="AI548" s="2">
        <v>45291</v>
      </c>
      <c r="AJ548" s="2">
        <v>45142</v>
      </c>
    </row>
    <row r="549" spans="1:36">
      <c r="A549" s="1" t="str">
        <f>"Z343C2B6D6"</f>
        <v>Z343C2B6D6</v>
      </c>
      <c r="B549" s="1" t="str">
        <f t="shared" si="8"/>
        <v>02406911202</v>
      </c>
      <c r="C549" s="1" t="s">
        <v>13</v>
      </c>
      <c r="D549" s="1" t="s">
        <v>180</v>
      </c>
      <c r="E549" s="1" t="s">
        <v>296</v>
      </c>
      <c r="F549" s="1" t="s">
        <v>158</v>
      </c>
      <c r="G549" s="1" t="str">
        <f>"01629650167"</f>
        <v>01629650167</v>
      </c>
      <c r="I549" s="1" t="s">
        <v>735</v>
      </c>
      <c r="L549" s="1" t="s">
        <v>43</v>
      </c>
      <c r="M549" s="1">
        <v>6000</v>
      </c>
      <c r="AG549" s="1">
        <v>6000</v>
      </c>
      <c r="AH549" s="2">
        <v>45147</v>
      </c>
      <c r="AI549" s="2">
        <v>45291</v>
      </c>
      <c r="AJ549" s="2">
        <v>45147</v>
      </c>
    </row>
    <row r="550" spans="1:36">
      <c r="A550" s="1" t="str">
        <f>"99428814F7"</f>
        <v>99428814F7</v>
      </c>
      <c r="B550" s="1" t="str">
        <f t="shared" si="8"/>
        <v>02406911202</v>
      </c>
      <c r="C550" s="1" t="s">
        <v>13</v>
      </c>
      <c r="D550" s="1" t="s">
        <v>167</v>
      </c>
      <c r="E550" s="1" t="s">
        <v>736</v>
      </c>
      <c r="F550" s="1" t="s">
        <v>151</v>
      </c>
      <c r="G550" s="1" t="str">
        <f>"07121831007"</f>
        <v>07121831007</v>
      </c>
      <c r="I550" s="1" t="s">
        <v>737</v>
      </c>
      <c r="L550" s="1" t="s">
        <v>43</v>
      </c>
      <c r="M550" s="1">
        <v>78300.600000000006</v>
      </c>
      <c r="AG550" s="1">
        <v>0</v>
      </c>
      <c r="AH550" s="2">
        <v>45111</v>
      </c>
      <c r="AI550" s="2">
        <v>45234</v>
      </c>
      <c r="AJ550" s="2">
        <v>45111</v>
      </c>
    </row>
    <row r="551" spans="1:36">
      <c r="A551" s="1" t="str">
        <f>"ZC13BEA653"</f>
        <v>ZC13BEA653</v>
      </c>
      <c r="B551" s="1" t="str">
        <f t="shared" si="8"/>
        <v>02406911202</v>
      </c>
      <c r="C551" s="1" t="s">
        <v>13</v>
      </c>
      <c r="D551" s="1" t="s">
        <v>164</v>
      </c>
      <c r="E551" s="1" t="s">
        <v>738</v>
      </c>
      <c r="F551" s="1" t="s">
        <v>158</v>
      </c>
      <c r="G551" s="1" t="str">
        <f>"03358520967"</f>
        <v>03358520967</v>
      </c>
      <c r="I551" s="1" t="s">
        <v>739</v>
      </c>
      <c r="L551" s="1" t="s">
        <v>43</v>
      </c>
      <c r="M551" s="1">
        <v>200</v>
      </c>
      <c r="AG551" s="1">
        <v>200</v>
      </c>
      <c r="AH551" s="2">
        <v>45124</v>
      </c>
      <c r="AI551" s="2">
        <v>46219</v>
      </c>
      <c r="AJ551" s="2">
        <v>45124</v>
      </c>
    </row>
    <row r="552" spans="1:36">
      <c r="A552" s="1" t="str">
        <f>"ZC13BEA653"</f>
        <v>ZC13BEA653</v>
      </c>
      <c r="B552" s="1" t="str">
        <f t="shared" si="8"/>
        <v>02406911202</v>
      </c>
      <c r="C552" s="1" t="s">
        <v>13</v>
      </c>
      <c r="D552" s="1" t="s">
        <v>164</v>
      </c>
      <c r="E552" s="1" t="s">
        <v>738</v>
      </c>
      <c r="F552" s="1" t="s">
        <v>158</v>
      </c>
      <c r="G552" s="1" t="str">
        <f>"01879020517"</f>
        <v>01879020517</v>
      </c>
      <c r="I552" s="1" t="s">
        <v>740</v>
      </c>
      <c r="L552" s="1" t="s">
        <v>100</v>
      </c>
      <c r="AJ552" s="2">
        <v>45124</v>
      </c>
    </row>
    <row r="553" spans="1:36">
      <c r="A553" s="1" t="str">
        <f>"Z0D3BF5D33"</f>
        <v>Z0D3BF5D33</v>
      </c>
      <c r="B553" s="1" t="str">
        <f t="shared" si="8"/>
        <v>02406911202</v>
      </c>
      <c r="C553" s="1" t="s">
        <v>13</v>
      </c>
      <c r="D553" s="1" t="s">
        <v>177</v>
      </c>
      <c r="E553" s="1" t="s">
        <v>741</v>
      </c>
      <c r="F553" s="1" t="s">
        <v>158</v>
      </c>
      <c r="G553" s="1" t="str">
        <f>"02376540379"</f>
        <v>02376540379</v>
      </c>
      <c r="I553" s="1" t="s">
        <v>583</v>
      </c>
      <c r="L553" s="1" t="s">
        <v>43</v>
      </c>
      <c r="M553" s="1">
        <v>491.8</v>
      </c>
      <c r="AG553" s="1">
        <v>600</v>
      </c>
      <c r="AH553" s="2">
        <v>45126</v>
      </c>
      <c r="AI553" s="2">
        <v>45291</v>
      </c>
      <c r="AJ553" s="2">
        <v>45126</v>
      </c>
    </row>
    <row r="554" spans="1:36">
      <c r="A554" s="1" t="str">
        <f>"Z2E3C23C9F"</f>
        <v>Z2E3C23C9F</v>
      </c>
      <c r="B554" s="1" t="str">
        <f t="shared" si="8"/>
        <v>02406911202</v>
      </c>
      <c r="C554" s="1" t="s">
        <v>13</v>
      </c>
      <c r="D554" s="1" t="s">
        <v>180</v>
      </c>
      <c r="E554" s="1" t="s">
        <v>281</v>
      </c>
      <c r="F554" s="1" t="s">
        <v>158</v>
      </c>
      <c r="G554" s="1" t="str">
        <f>"09270550016"</f>
        <v>09270550016</v>
      </c>
      <c r="I554" s="1" t="s">
        <v>406</v>
      </c>
      <c r="L554" s="1" t="s">
        <v>43</v>
      </c>
      <c r="M554" s="1">
        <v>6000</v>
      </c>
      <c r="AG554" s="1">
        <v>3759.2</v>
      </c>
      <c r="AH554" s="2">
        <v>45145</v>
      </c>
      <c r="AI554" s="2">
        <v>45291</v>
      </c>
      <c r="AJ554" s="2">
        <v>45145</v>
      </c>
    </row>
    <row r="555" spans="1:36">
      <c r="A555" s="1" t="str">
        <f>"A00BF3D16B"</f>
        <v>A00BF3D16B</v>
      </c>
      <c r="B555" s="1" t="str">
        <f t="shared" si="8"/>
        <v>02406911202</v>
      </c>
      <c r="C555" s="1" t="s">
        <v>13</v>
      </c>
      <c r="D555" s="1" t="s">
        <v>167</v>
      </c>
      <c r="E555" s="1" t="s">
        <v>742</v>
      </c>
      <c r="F555" s="1" t="s">
        <v>39</v>
      </c>
      <c r="G555" s="1" t="str">
        <f>"11575580151"</f>
        <v>11575580151</v>
      </c>
      <c r="I555" s="1" t="s">
        <v>127</v>
      </c>
      <c r="L555" s="1" t="s">
        <v>43</v>
      </c>
      <c r="M555" s="1">
        <v>1014255</v>
      </c>
      <c r="AG555" s="1">
        <v>223600.5</v>
      </c>
      <c r="AH555" s="2">
        <v>45177</v>
      </c>
      <c r="AI555" s="2">
        <v>45542</v>
      </c>
      <c r="AJ555" s="2">
        <v>45177</v>
      </c>
    </row>
    <row r="556" spans="1:36">
      <c r="A556" s="1" t="str">
        <f>"ZB43C46F40"</f>
        <v>ZB43C46F40</v>
      </c>
      <c r="B556" s="1" t="str">
        <f t="shared" si="8"/>
        <v>02406911202</v>
      </c>
      <c r="C556" s="1" t="s">
        <v>13</v>
      </c>
      <c r="D556" s="1" t="s">
        <v>180</v>
      </c>
      <c r="E556" s="1" t="s">
        <v>220</v>
      </c>
      <c r="F556" s="1" t="s">
        <v>158</v>
      </c>
      <c r="G556" s="1" t="str">
        <f>"02173550282"</f>
        <v>02173550282</v>
      </c>
      <c r="I556" s="1" t="s">
        <v>548</v>
      </c>
      <c r="L556" s="1" t="s">
        <v>43</v>
      </c>
      <c r="M556" s="1">
        <v>6000</v>
      </c>
      <c r="AG556" s="1">
        <v>5624.41</v>
      </c>
      <c r="AH556" s="2">
        <v>45177</v>
      </c>
      <c r="AI556" s="2">
        <v>45291</v>
      </c>
      <c r="AJ556" s="2">
        <v>45177</v>
      </c>
    </row>
    <row r="557" spans="1:36">
      <c r="A557" s="1" t="str">
        <f>"A009F8CA59"</f>
        <v>A009F8CA59</v>
      </c>
      <c r="B557" s="1" t="str">
        <f t="shared" si="8"/>
        <v>02406911202</v>
      </c>
      <c r="C557" s="1" t="s">
        <v>13</v>
      </c>
      <c r="D557" s="1" t="s">
        <v>167</v>
      </c>
      <c r="E557" s="1" t="s">
        <v>743</v>
      </c>
      <c r="F557" s="1" t="s">
        <v>39</v>
      </c>
      <c r="G557" s="1" t="str">
        <f>"11159150157"</f>
        <v>11159150157</v>
      </c>
      <c r="I557" s="1" t="s">
        <v>543</v>
      </c>
      <c r="L557" s="1" t="s">
        <v>43</v>
      </c>
      <c r="M557" s="1">
        <v>98000</v>
      </c>
      <c r="AG557" s="1">
        <v>98000</v>
      </c>
      <c r="AH557" s="2">
        <v>45177</v>
      </c>
      <c r="AI557" s="2">
        <v>45199</v>
      </c>
      <c r="AJ557" s="2">
        <v>45177</v>
      </c>
    </row>
    <row r="558" spans="1:36">
      <c r="A558" s="1" t="str">
        <f>"A00CBE74CC"</f>
        <v>A00CBE74CC</v>
      </c>
      <c r="B558" s="1" t="str">
        <f t="shared" si="8"/>
        <v>02406911202</v>
      </c>
      <c r="C558" s="1" t="s">
        <v>13</v>
      </c>
      <c r="D558" s="1" t="s">
        <v>167</v>
      </c>
      <c r="E558" s="1" t="s">
        <v>110</v>
      </c>
      <c r="F558" s="1" t="s">
        <v>39</v>
      </c>
      <c r="G558" s="1" t="str">
        <f>"09693591001"</f>
        <v>09693591001</v>
      </c>
      <c r="I558" s="1" t="s">
        <v>112</v>
      </c>
      <c r="L558" s="1" t="s">
        <v>43</v>
      </c>
      <c r="M558" s="1">
        <v>3612.5</v>
      </c>
      <c r="AG558" s="1">
        <v>0</v>
      </c>
      <c r="AH558" s="2">
        <v>45200</v>
      </c>
      <c r="AI558" s="2">
        <v>45351</v>
      </c>
      <c r="AJ558" s="2">
        <v>45200</v>
      </c>
    </row>
    <row r="559" spans="1:36">
      <c r="A559" s="1" t="str">
        <f>"Z8B3C6779D"</f>
        <v>Z8B3C6779D</v>
      </c>
      <c r="B559" s="1" t="str">
        <f t="shared" si="8"/>
        <v>02406911202</v>
      </c>
      <c r="C559" s="1" t="s">
        <v>13</v>
      </c>
      <c r="D559" s="1" t="s">
        <v>186</v>
      </c>
      <c r="E559" s="1" t="s">
        <v>744</v>
      </c>
      <c r="F559" s="1" t="s">
        <v>158</v>
      </c>
      <c r="G559" s="1" t="str">
        <f>"91155450371"</f>
        <v>91155450371</v>
      </c>
      <c r="I559" s="1" t="s">
        <v>369</v>
      </c>
      <c r="L559" s="1" t="s">
        <v>43</v>
      </c>
      <c r="M559" s="1">
        <v>4999</v>
      </c>
      <c r="AG559" s="1">
        <v>1331.04</v>
      </c>
      <c r="AH559" s="2">
        <v>45188</v>
      </c>
      <c r="AI559" s="2">
        <v>46022</v>
      </c>
      <c r="AJ559" s="2">
        <v>45188</v>
      </c>
    </row>
    <row r="560" spans="1:36">
      <c r="A560" s="1" t="str">
        <f>"Z0D3C680CB"</f>
        <v>Z0D3C680CB</v>
      </c>
      <c r="B560" s="1" t="str">
        <f t="shared" si="8"/>
        <v>02406911202</v>
      </c>
      <c r="C560" s="1" t="s">
        <v>13</v>
      </c>
      <c r="D560" s="1" t="s">
        <v>177</v>
      </c>
      <c r="E560" s="1" t="s">
        <v>745</v>
      </c>
      <c r="F560" s="1" t="s">
        <v>158</v>
      </c>
      <c r="G560" s="1" t="str">
        <f>"01596500387"</f>
        <v>01596500387</v>
      </c>
      <c r="I560" s="1" t="s">
        <v>461</v>
      </c>
      <c r="L560" s="1" t="s">
        <v>43</v>
      </c>
      <c r="M560" s="1">
        <v>12058.8</v>
      </c>
      <c r="AG560" s="1">
        <v>12058.8</v>
      </c>
      <c r="AH560" s="2">
        <v>45180</v>
      </c>
      <c r="AI560" s="2">
        <v>45291</v>
      </c>
      <c r="AJ560" s="2">
        <v>45180</v>
      </c>
    </row>
    <row r="561" spans="1:36">
      <c r="A561" s="1" t="str">
        <f>"Z573C68317"</f>
        <v>Z573C68317</v>
      </c>
      <c r="B561" s="1" t="str">
        <f t="shared" si="8"/>
        <v>02406911202</v>
      </c>
      <c r="C561" s="1" t="s">
        <v>13</v>
      </c>
      <c r="D561" s="1" t="s">
        <v>180</v>
      </c>
      <c r="E561" s="1" t="s">
        <v>279</v>
      </c>
      <c r="F561" s="1" t="s">
        <v>158</v>
      </c>
      <c r="G561" s="1" t="str">
        <f>"05158401009"</f>
        <v>05158401009</v>
      </c>
      <c r="I561" s="1" t="s">
        <v>746</v>
      </c>
      <c r="L561" s="1" t="s">
        <v>43</v>
      </c>
      <c r="M561" s="1">
        <v>5000</v>
      </c>
      <c r="AG561" s="1">
        <v>1595</v>
      </c>
      <c r="AH561" s="2">
        <v>45180</v>
      </c>
      <c r="AI561" s="2">
        <v>45291</v>
      </c>
      <c r="AJ561" s="2">
        <v>45180</v>
      </c>
    </row>
    <row r="562" spans="1:36">
      <c r="A562" s="1" t="str">
        <f>"ZE03C682C2"</f>
        <v>ZE03C682C2</v>
      </c>
      <c r="B562" s="1" t="str">
        <f t="shared" si="8"/>
        <v>02406911202</v>
      </c>
      <c r="C562" s="1" t="s">
        <v>13</v>
      </c>
      <c r="D562" s="1" t="s">
        <v>180</v>
      </c>
      <c r="E562" s="1" t="s">
        <v>281</v>
      </c>
      <c r="F562" s="1" t="s">
        <v>158</v>
      </c>
      <c r="G562" s="1" t="str">
        <f>"12572900152"</f>
        <v>12572900152</v>
      </c>
      <c r="I562" s="1" t="s">
        <v>335</v>
      </c>
      <c r="L562" s="1" t="s">
        <v>43</v>
      </c>
      <c r="M562" s="1">
        <v>6000</v>
      </c>
      <c r="AG562" s="1">
        <v>2712</v>
      </c>
      <c r="AH562" s="2">
        <v>45180</v>
      </c>
      <c r="AI562" s="2">
        <v>45291</v>
      </c>
      <c r="AJ562" s="2">
        <v>45180</v>
      </c>
    </row>
    <row r="563" spans="1:36">
      <c r="A563" s="1" t="str">
        <f>"Z963B6009A"</f>
        <v>Z963B6009A</v>
      </c>
      <c r="B563" s="1" t="str">
        <f t="shared" si="8"/>
        <v>02406911202</v>
      </c>
      <c r="C563" s="1" t="s">
        <v>13</v>
      </c>
      <c r="D563" s="1" t="s">
        <v>264</v>
      </c>
      <c r="E563" s="1" t="s">
        <v>747</v>
      </c>
      <c r="F563" s="1" t="s">
        <v>158</v>
      </c>
      <c r="G563" s="1" t="str">
        <f>"03946191206"</f>
        <v>03946191206</v>
      </c>
      <c r="I563" s="1" t="s">
        <v>748</v>
      </c>
      <c r="L563" s="1" t="s">
        <v>43</v>
      </c>
      <c r="M563" s="1">
        <v>2480</v>
      </c>
      <c r="AG563" s="1">
        <v>1240</v>
      </c>
      <c r="AH563" s="2">
        <v>45121</v>
      </c>
      <c r="AI563" s="2">
        <v>45169</v>
      </c>
      <c r="AJ563" s="2">
        <v>45121</v>
      </c>
    </row>
    <row r="564" spans="1:36">
      <c r="A564" s="1" t="str">
        <f>"ZF73BCEEEC"</f>
        <v>ZF73BCEEEC</v>
      </c>
      <c r="B564" s="1" t="str">
        <f t="shared" si="8"/>
        <v>02406911202</v>
      </c>
      <c r="C564" s="1" t="s">
        <v>13</v>
      </c>
      <c r="D564" s="1" t="s">
        <v>264</v>
      </c>
      <c r="E564" s="1" t="s">
        <v>749</v>
      </c>
      <c r="F564" s="1" t="s">
        <v>158</v>
      </c>
      <c r="G564" s="1" t="str">
        <f>"01769780675"</f>
        <v>01769780675</v>
      </c>
      <c r="I564" s="1" t="s">
        <v>750</v>
      </c>
      <c r="L564" s="1" t="s">
        <v>43</v>
      </c>
      <c r="M564" s="1">
        <v>410</v>
      </c>
      <c r="AG564" s="1">
        <v>410</v>
      </c>
      <c r="AH564" s="2">
        <v>45112</v>
      </c>
      <c r="AI564" s="2">
        <v>45184</v>
      </c>
      <c r="AJ564" s="2">
        <v>45112</v>
      </c>
    </row>
    <row r="565" spans="1:36">
      <c r="A565" s="1" t="str">
        <f>"Z363C302DF"</f>
        <v>Z363C302DF</v>
      </c>
      <c r="B565" s="1" t="str">
        <f t="shared" si="8"/>
        <v>02406911202</v>
      </c>
      <c r="C565" s="1" t="s">
        <v>13</v>
      </c>
      <c r="D565" s="1" t="s">
        <v>186</v>
      </c>
      <c r="E565" s="1" t="s">
        <v>331</v>
      </c>
      <c r="F565" s="1" t="s">
        <v>158</v>
      </c>
      <c r="G565" s="1" t="str">
        <f>"03597020373"</f>
        <v>03597020373</v>
      </c>
      <c r="I565" s="1" t="s">
        <v>254</v>
      </c>
      <c r="L565" s="1" t="s">
        <v>43</v>
      </c>
      <c r="M565" s="1">
        <v>4999</v>
      </c>
      <c r="AG565" s="1">
        <v>4674.1000000000004</v>
      </c>
      <c r="AH565" s="2">
        <v>45149</v>
      </c>
      <c r="AI565" s="2">
        <v>46022</v>
      </c>
      <c r="AJ565" s="2">
        <v>45149</v>
      </c>
    </row>
    <row r="566" spans="1:36">
      <c r="A566" s="1" t="str">
        <f>"Z9F3C304B3"</f>
        <v>Z9F3C304B3</v>
      </c>
      <c r="B566" s="1" t="str">
        <f t="shared" si="8"/>
        <v>02406911202</v>
      </c>
      <c r="C566" s="1" t="s">
        <v>13</v>
      </c>
      <c r="D566" s="1" t="s">
        <v>180</v>
      </c>
      <c r="E566" s="1" t="s">
        <v>279</v>
      </c>
      <c r="F566" s="1" t="s">
        <v>158</v>
      </c>
      <c r="H566" s="1" t="str">
        <f>"825580900B01"</f>
        <v>825580900B01</v>
      </c>
      <c r="I566" s="1" t="s">
        <v>467</v>
      </c>
      <c r="L566" s="1" t="s">
        <v>43</v>
      </c>
      <c r="M566" s="1">
        <v>6000</v>
      </c>
      <c r="AG566" s="1">
        <v>4346.34</v>
      </c>
      <c r="AH566" s="2">
        <v>45149</v>
      </c>
      <c r="AI566" s="2">
        <v>45291</v>
      </c>
      <c r="AJ566" s="2">
        <v>45149</v>
      </c>
    </row>
    <row r="567" spans="1:36">
      <c r="A567" s="1" t="str">
        <f>"ZE43C07B99"</f>
        <v>ZE43C07B99</v>
      </c>
      <c r="B567" s="1" t="str">
        <f t="shared" si="8"/>
        <v>02406911202</v>
      </c>
      <c r="C567" s="1" t="s">
        <v>13</v>
      </c>
      <c r="D567" s="1" t="s">
        <v>186</v>
      </c>
      <c r="E567" s="1" t="s">
        <v>751</v>
      </c>
      <c r="F567" s="1" t="s">
        <v>158</v>
      </c>
      <c r="G567" s="1" t="str">
        <f>"01498810280"</f>
        <v>01498810280</v>
      </c>
      <c r="I567" s="1" t="s">
        <v>752</v>
      </c>
      <c r="L567" s="1" t="s">
        <v>43</v>
      </c>
      <c r="M567" s="1">
        <v>30768</v>
      </c>
      <c r="AG567" s="1">
        <v>9177.7000000000007</v>
      </c>
      <c r="AH567" s="2">
        <v>45149</v>
      </c>
      <c r="AI567" s="2">
        <v>45657</v>
      </c>
      <c r="AJ567" s="2">
        <v>45149</v>
      </c>
    </row>
    <row r="568" spans="1:36">
      <c r="A568" s="1" t="str">
        <f>"ZE43C07B99"</f>
        <v>ZE43C07B99</v>
      </c>
      <c r="B568" s="1" t="str">
        <f t="shared" si="8"/>
        <v>02406911202</v>
      </c>
      <c r="C568" s="1" t="s">
        <v>13</v>
      </c>
      <c r="D568" s="1" t="s">
        <v>186</v>
      </c>
      <c r="E568" s="1" t="s">
        <v>751</v>
      </c>
      <c r="F568" s="1" t="s">
        <v>158</v>
      </c>
      <c r="G568" s="1" t="str">
        <f>"00435080304"</f>
        <v>00435080304</v>
      </c>
      <c r="I568" s="1" t="s">
        <v>753</v>
      </c>
      <c r="L568" s="1" t="s">
        <v>100</v>
      </c>
      <c r="AJ568" s="2">
        <v>45149</v>
      </c>
    </row>
    <row r="569" spans="1:36">
      <c r="A569" s="1" t="str">
        <f>"Z523C39D7D"</f>
        <v>Z523C39D7D</v>
      </c>
      <c r="B569" s="1" t="str">
        <f t="shared" si="8"/>
        <v>02406911202</v>
      </c>
      <c r="C569" s="1" t="s">
        <v>13</v>
      </c>
      <c r="D569" s="1" t="s">
        <v>180</v>
      </c>
      <c r="E569" s="1" t="s">
        <v>296</v>
      </c>
      <c r="F569" s="1" t="s">
        <v>158</v>
      </c>
      <c r="G569" s="1" t="str">
        <f>"01814920136"</f>
        <v>01814920136</v>
      </c>
      <c r="I569" s="1" t="s">
        <v>754</v>
      </c>
      <c r="L569" s="1" t="s">
        <v>43</v>
      </c>
      <c r="M569" s="1">
        <v>5000</v>
      </c>
      <c r="AG569" s="1">
        <v>420</v>
      </c>
      <c r="AH569" s="2">
        <v>45160</v>
      </c>
      <c r="AI569" s="2">
        <v>45657</v>
      </c>
      <c r="AJ569" s="2">
        <v>45160</v>
      </c>
    </row>
    <row r="570" spans="1:36">
      <c r="A570" s="1" t="str">
        <f>"Z9D3C37ACC"</f>
        <v>Z9D3C37ACC</v>
      </c>
      <c r="B570" s="1" t="str">
        <f t="shared" si="8"/>
        <v>02406911202</v>
      </c>
      <c r="C570" s="1" t="s">
        <v>13</v>
      </c>
      <c r="D570" s="1" t="s">
        <v>186</v>
      </c>
      <c r="E570" s="1" t="s">
        <v>755</v>
      </c>
      <c r="F570" s="1" t="s">
        <v>158</v>
      </c>
      <c r="G570" s="1" t="str">
        <f>"01906320039"</f>
        <v>01906320039</v>
      </c>
      <c r="I570" s="1" t="s">
        <v>756</v>
      </c>
      <c r="L570" s="1" t="s">
        <v>43</v>
      </c>
      <c r="M570" s="1">
        <v>2000</v>
      </c>
      <c r="AG570" s="1">
        <v>160</v>
      </c>
      <c r="AH570" s="2">
        <v>45159</v>
      </c>
      <c r="AI570" s="2">
        <v>46053</v>
      </c>
      <c r="AJ570" s="2">
        <v>45159</v>
      </c>
    </row>
    <row r="571" spans="1:36">
      <c r="A571" s="1" t="str">
        <f>"Z243BF84BC"</f>
        <v>Z243BF84BC</v>
      </c>
      <c r="B571" s="1" t="str">
        <f t="shared" si="8"/>
        <v>02406911202</v>
      </c>
      <c r="C571" s="1" t="s">
        <v>13</v>
      </c>
      <c r="D571" s="1" t="s">
        <v>164</v>
      </c>
      <c r="E571" s="1" t="s">
        <v>757</v>
      </c>
      <c r="F571" s="1" t="s">
        <v>39</v>
      </c>
      <c r="G571" s="1" t="str">
        <f>"PNRGNN63P67B111F"</f>
        <v>PNRGNN63P67B111F</v>
      </c>
      <c r="I571" s="1" t="s">
        <v>758</v>
      </c>
      <c r="L571" s="1" t="s">
        <v>43</v>
      </c>
      <c r="M571" s="1">
        <v>2304</v>
      </c>
      <c r="AG571" s="1">
        <v>2304</v>
      </c>
      <c r="AH571" s="2">
        <v>45127</v>
      </c>
      <c r="AI571" s="2">
        <v>45291</v>
      </c>
      <c r="AJ571" s="2">
        <v>45127</v>
      </c>
    </row>
    <row r="572" spans="1:36">
      <c r="A572" s="1" t="str">
        <f>"Z243BF84BC"</f>
        <v>Z243BF84BC</v>
      </c>
      <c r="B572" s="1" t="str">
        <f t="shared" si="8"/>
        <v>02406911202</v>
      </c>
      <c r="C572" s="1" t="s">
        <v>13</v>
      </c>
      <c r="D572" s="1" t="s">
        <v>164</v>
      </c>
      <c r="E572" s="1" t="s">
        <v>757</v>
      </c>
      <c r="F572" s="1" t="s">
        <v>39</v>
      </c>
      <c r="G572" s="1" t="str">
        <f>"03359340837"</f>
        <v>03359340837</v>
      </c>
      <c r="I572" s="1" t="s">
        <v>759</v>
      </c>
      <c r="L572" s="1" t="s">
        <v>100</v>
      </c>
      <c r="AJ572" s="2">
        <v>45127</v>
      </c>
    </row>
    <row r="573" spans="1:36">
      <c r="A573" s="1" t="str">
        <f>"ZB83C6BC9C"</f>
        <v>ZB83C6BC9C</v>
      </c>
      <c r="B573" s="1" t="str">
        <f t="shared" si="8"/>
        <v>02406911202</v>
      </c>
      <c r="C573" s="1" t="s">
        <v>13</v>
      </c>
      <c r="D573" s="1" t="s">
        <v>180</v>
      </c>
      <c r="E573" s="1" t="s">
        <v>279</v>
      </c>
      <c r="F573" s="1" t="s">
        <v>158</v>
      </c>
      <c r="G573" s="1" t="str">
        <f>"02368591208"</f>
        <v>02368591208</v>
      </c>
      <c r="I573" s="1" t="s">
        <v>760</v>
      </c>
      <c r="L573" s="1" t="s">
        <v>43</v>
      </c>
      <c r="M573" s="1">
        <v>5000</v>
      </c>
      <c r="AG573" s="1">
        <v>1812</v>
      </c>
      <c r="AH573" s="2">
        <v>45181</v>
      </c>
      <c r="AI573" s="2">
        <v>45291</v>
      </c>
      <c r="AJ573" s="2">
        <v>45181</v>
      </c>
    </row>
    <row r="574" spans="1:36">
      <c r="A574" s="1" t="str">
        <f>"A008A0782E"</f>
        <v>A008A0782E</v>
      </c>
      <c r="B574" s="1" t="str">
        <f t="shared" si="8"/>
        <v>02406911202</v>
      </c>
      <c r="C574" s="1" t="s">
        <v>13</v>
      </c>
      <c r="D574" s="1" t="s">
        <v>167</v>
      </c>
      <c r="E574" s="1" t="s">
        <v>761</v>
      </c>
      <c r="F574" s="1" t="s">
        <v>39</v>
      </c>
      <c r="G574" s="1" t="str">
        <f>"07435060152"</f>
        <v>07435060152</v>
      </c>
      <c r="I574" s="1" t="s">
        <v>552</v>
      </c>
      <c r="L574" s="1" t="s">
        <v>43</v>
      </c>
      <c r="M574" s="1">
        <v>99750</v>
      </c>
      <c r="AG574" s="1">
        <v>68305.8</v>
      </c>
      <c r="AH574" s="2">
        <v>45170</v>
      </c>
      <c r="AI574" s="2">
        <v>45291</v>
      </c>
      <c r="AJ574" s="2">
        <v>45170</v>
      </c>
    </row>
    <row r="575" spans="1:36">
      <c r="A575" s="1" t="str">
        <f>"A008A20CCE"</f>
        <v>A008A20CCE</v>
      </c>
      <c r="B575" s="1" t="str">
        <f t="shared" si="8"/>
        <v>02406911202</v>
      </c>
      <c r="C575" s="1" t="s">
        <v>13</v>
      </c>
      <c r="D575" s="1" t="s">
        <v>167</v>
      </c>
      <c r="E575" s="1" t="s">
        <v>762</v>
      </c>
      <c r="F575" s="1" t="s">
        <v>39</v>
      </c>
      <c r="G575" s="1" t="str">
        <f>"07435060152"</f>
        <v>07435060152</v>
      </c>
      <c r="I575" s="1" t="s">
        <v>552</v>
      </c>
      <c r="L575" s="1" t="s">
        <v>43</v>
      </c>
      <c r="M575" s="1">
        <v>80237</v>
      </c>
      <c r="AG575" s="1">
        <v>231.12</v>
      </c>
      <c r="AH575" s="2">
        <v>45170</v>
      </c>
      <c r="AI575" s="2">
        <v>45291</v>
      </c>
      <c r="AJ575" s="2">
        <v>45170</v>
      </c>
    </row>
    <row r="576" spans="1:36">
      <c r="A576" s="1" t="str">
        <f>"ZEA3C7178B"</f>
        <v>ZEA3C7178B</v>
      </c>
      <c r="B576" s="1" t="str">
        <f t="shared" si="8"/>
        <v>02406911202</v>
      </c>
      <c r="C576" s="1" t="s">
        <v>13</v>
      </c>
      <c r="D576" s="1" t="s">
        <v>180</v>
      </c>
      <c r="E576" s="1" t="s">
        <v>315</v>
      </c>
      <c r="F576" s="1" t="s">
        <v>158</v>
      </c>
      <c r="G576" s="1" t="str">
        <f>"11575730012"</f>
        <v>11575730012</v>
      </c>
      <c r="I576" s="1" t="s">
        <v>763</v>
      </c>
      <c r="L576" s="1" t="s">
        <v>43</v>
      </c>
      <c r="M576" s="1">
        <v>5000</v>
      </c>
      <c r="AG576" s="1">
        <v>1080</v>
      </c>
      <c r="AH576" s="2">
        <v>45182</v>
      </c>
      <c r="AI576" s="2">
        <v>45657</v>
      </c>
      <c r="AJ576" s="2">
        <v>45182</v>
      </c>
    </row>
    <row r="577" spans="1:36">
      <c r="A577" s="1" t="str">
        <f>"A00E53FEDA"</f>
        <v>A00E53FEDA</v>
      </c>
      <c r="B577" s="1" t="str">
        <f t="shared" si="8"/>
        <v>02406911202</v>
      </c>
      <c r="C577" s="1" t="s">
        <v>13</v>
      </c>
      <c r="D577" s="1" t="s">
        <v>167</v>
      </c>
      <c r="E577" s="1" t="s">
        <v>764</v>
      </c>
      <c r="F577" s="1" t="s">
        <v>151</v>
      </c>
      <c r="G577" s="1" t="str">
        <f>"09331210154"</f>
        <v>09331210154</v>
      </c>
      <c r="I577" s="1" t="s">
        <v>765</v>
      </c>
      <c r="L577" s="1" t="s">
        <v>43</v>
      </c>
      <c r="M577" s="1">
        <v>66666.67</v>
      </c>
      <c r="AG577" s="1">
        <v>0</v>
      </c>
      <c r="AH577" s="2">
        <v>45183</v>
      </c>
      <c r="AI577" s="2">
        <v>45657</v>
      </c>
      <c r="AJ577" s="2">
        <v>45183</v>
      </c>
    </row>
    <row r="578" spans="1:36">
      <c r="A578" s="1" t="str">
        <f>"ZBF3C6D316"</f>
        <v>ZBF3C6D316</v>
      </c>
      <c r="B578" s="1" t="str">
        <f t="shared" ref="B578:B641" si="9">"02406911202"</f>
        <v>02406911202</v>
      </c>
      <c r="C578" s="1" t="s">
        <v>13</v>
      </c>
      <c r="D578" s="1" t="s">
        <v>167</v>
      </c>
      <c r="E578" s="1" t="s">
        <v>766</v>
      </c>
      <c r="F578" s="1" t="s">
        <v>151</v>
      </c>
      <c r="G578" s="1" t="str">
        <f>"01427710304"</f>
        <v>01427710304</v>
      </c>
      <c r="I578" s="1" t="s">
        <v>767</v>
      </c>
      <c r="L578" s="1" t="s">
        <v>43</v>
      </c>
      <c r="M578" s="1">
        <v>39583.33</v>
      </c>
      <c r="AG578" s="1">
        <v>0</v>
      </c>
      <c r="AH578" s="2">
        <v>45183</v>
      </c>
      <c r="AI578" s="2">
        <v>45657</v>
      </c>
      <c r="AJ578" s="2">
        <v>45183</v>
      </c>
    </row>
    <row r="579" spans="1:36">
      <c r="A579" s="1" t="str">
        <f>"A00E57B062"</f>
        <v>A00E57B062</v>
      </c>
      <c r="B579" s="1" t="str">
        <f t="shared" si="9"/>
        <v>02406911202</v>
      </c>
      <c r="C579" s="1" t="s">
        <v>13</v>
      </c>
      <c r="D579" s="1" t="s">
        <v>167</v>
      </c>
      <c r="E579" s="1" t="s">
        <v>768</v>
      </c>
      <c r="F579" s="1" t="s">
        <v>151</v>
      </c>
      <c r="G579" s="1" t="str">
        <f>"08082461008"</f>
        <v>08082461008</v>
      </c>
      <c r="I579" s="1" t="s">
        <v>88</v>
      </c>
      <c r="L579" s="1" t="s">
        <v>43</v>
      </c>
      <c r="M579" s="1">
        <v>146666.67000000001</v>
      </c>
      <c r="AG579" s="1">
        <v>0</v>
      </c>
      <c r="AH579" s="2">
        <v>45183</v>
      </c>
      <c r="AI579" s="2">
        <v>45657</v>
      </c>
      <c r="AJ579" s="2">
        <v>45183</v>
      </c>
    </row>
    <row r="580" spans="1:36">
      <c r="A580" s="1" t="str">
        <f>"Z3A3C7368B"</f>
        <v>Z3A3C7368B</v>
      </c>
      <c r="B580" s="1" t="str">
        <f t="shared" si="9"/>
        <v>02406911202</v>
      </c>
      <c r="C580" s="1" t="s">
        <v>13</v>
      </c>
      <c r="D580" s="1" t="s">
        <v>180</v>
      </c>
      <c r="E580" s="1" t="s">
        <v>244</v>
      </c>
      <c r="F580" s="1" t="s">
        <v>158</v>
      </c>
      <c r="G580" s="1" t="str">
        <f>"02111430357"</f>
        <v>02111430357</v>
      </c>
      <c r="I580" s="1" t="s">
        <v>769</v>
      </c>
      <c r="L580" s="1" t="s">
        <v>43</v>
      </c>
      <c r="M580" s="1">
        <v>5000</v>
      </c>
      <c r="AG580" s="1">
        <v>3900</v>
      </c>
      <c r="AH580" s="2">
        <v>45184</v>
      </c>
      <c r="AI580" s="2">
        <v>45291</v>
      </c>
      <c r="AJ580" s="2">
        <v>45184</v>
      </c>
    </row>
    <row r="581" spans="1:36">
      <c r="A581" s="1" t="str">
        <f>"ZD93BD082C"</f>
        <v>ZD93BD082C</v>
      </c>
      <c r="B581" s="1" t="str">
        <f t="shared" si="9"/>
        <v>02406911202</v>
      </c>
      <c r="C581" s="1" t="s">
        <v>13</v>
      </c>
      <c r="D581" s="1" t="s">
        <v>180</v>
      </c>
      <c r="E581" s="1" t="s">
        <v>220</v>
      </c>
      <c r="F581" s="1" t="s">
        <v>158</v>
      </c>
      <c r="G581" s="1" t="str">
        <f>"02173550282"</f>
        <v>02173550282</v>
      </c>
      <c r="I581" s="1" t="s">
        <v>548</v>
      </c>
      <c r="L581" s="1" t="s">
        <v>43</v>
      </c>
      <c r="M581" s="1">
        <v>6000</v>
      </c>
      <c r="AG581" s="1">
        <v>5820.88</v>
      </c>
      <c r="AH581" s="2">
        <v>45117</v>
      </c>
      <c r="AI581" s="2">
        <v>45291</v>
      </c>
      <c r="AJ581" s="2">
        <v>45117</v>
      </c>
    </row>
    <row r="582" spans="1:36">
      <c r="A582" s="1" t="str">
        <f>"Z713BDFFA7"</f>
        <v>Z713BDFFA7</v>
      </c>
      <c r="B582" s="1" t="str">
        <f t="shared" si="9"/>
        <v>02406911202</v>
      </c>
      <c r="C582" s="1" t="s">
        <v>13</v>
      </c>
      <c r="D582" s="1" t="s">
        <v>180</v>
      </c>
      <c r="E582" s="1" t="s">
        <v>281</v>
      </c>
      <c r="F582" s="1" t="s">
        <v>158</v>
      </c>
      <c r="G582" s="1" t="str">
        <f>"00514240142"</f>
        <v>00514240142</v>
      </c>
      <c r="I582" s="1" t="s">
        <v>492</v>
      </c>
      <c r="L582" s="1" t="s">
        <v>43</v>
      </c>
      <c r="M582" s="1">
        <v>6000</v>
      </c>
      <c r="AG582" s="1">
        <v>6234.26</v>
      </c>
      <c r="AH582" s="2">
        <v>45120</v>
      </c>
      <c r="AI582" s="2">
        <v>45291</v>
      </c>
      <c r="AJ582" s="2">
        <v>45120</v>
      </c>
    </row>
    <row r="583" spans="1:36">
      <c r="A583" s="1" t="str">
        <f>"Z883BDFFF8"</f>
        <v>Z883BDFFF8</v>
      </c>
      <c r="B583" s="1" t="str">
        <f t="shared" si="9"/>
        <v>02406911202</v>
      </c>
      <c r="C583" s="1" t="s">
        <v>13</v>
      </c>
      <c r="D583" s="1" t="s">
        <v>180</v>
      </c>
      <c r="E583" s="1" t="s">
        <v>281</v>
      </c>
      <c r="F583" s="1" t="s">
        <v>158</v>
      </c>
      <c r="G583" s="1" t="str">
        <f>"02018520508"</f>
        <v>02018520508</v>
      </c>
      <c r="I583" s="1" t="s">
        <v>770</v>
      </c>
      <c r="L583" s="1" t="s">
        <v>43</v>
      </c>
      <c r="M583" s="1">
        <v>5000</v>
      </c>
      <c r="AG583" s="1">
        <v>160</v>
      </c>
      <c r="AH583" s="2">
        <v>45120</v>
      </c>
      <c r="AI583" s="2">
        <v>45291</v>
      </c>
      <c r="AJ583" s="2">
        <v>45120</v>
      </c>
    </row>
    <row r="584" spans="1:36">
      <c r="A584" s="1" t="str">
        <f>"Z003BE1915"</f>
        <v>Z003BE1915</v>
      </c>
      <c r="B584" s="1" t="str">
        <f t="shared" si="9"/>
        <v>02406911202</v>
      </c>
      <c r="C584" s="1" t="s">
        <v>13</v>
      </c>
      <c r="D584" s="1" t="s">
        <v>186</v>
      </c>
      <c r="E584" s="1" t="s">
        <v>771</v>
      </c>
      <c r="F584" s="1" t="s">
        <v>158</v>
      </c>
      <c r="G584" s="1" t="str">
        <f>"00926020066"</f>
        <v>00926020066</v>
      </c>
      <c r="I584" s="1" t="s">
        <v>772</v>
      </c>
      <c r="L584" s="1" t="s">
        <v>43</v>
      </c>
      <c r="M584" s="1">
        <v>4999</v>
      </c>
      <c r="AG584" s="1">
        <v>3072</v>
      </c>
      <c r="AH584" s="2">
        <v>45124</v>
      </c>
      <c r="AI584" s="2">
        <v>46022</v>
      </c>
      <c r="AJ584" s="2">
        <v>45124</v>
      </c>
    </row>
    <row r="585" spans="1:36">
      <c r="A585" s="1" t="str">
        <f>"9958034D9B"</f>
        <v>9958034D9B</v>
      </c>
      <c r="B585" s="1" t="str">
        <f t="shared" si="9"/>
        <v>02406911202</v>
      </c>
      <c r="C585" s="1" t="s">
        <v>13</v>
      </c>
      <c r="D585" s="1" t="s">
        <v>167</v>
      </c>
      <c r="E585" s="1" t="s">
        <v>773</v>
      </c>
      <c r="F585" s="1" t="s">
        <v>151</v>
      </c>
      <c r="G585" s="1" t="str">
        <f>"00735390155"</f>
        <v>00735390155</v>
      </c>
      <c r="I585" s="1" t="s">
        <v>774</v>
      </c>
      <c r="L585" s="1" t="s">
        <v>43</v>
      </c>
      <c r="M585" s="1">
        <v>55800</v>
      </c>
      <c r="AG585" s="1">
        <v>55800</v>
      </c>
      <c r="AH585" s="2">
        <v>45120</v>
      </c>
      <c r="AI585" s="2">
        <v>45478</v>
      </c>
      <c r="AJ585" s="2">
        <v>45120</v>
      </c>
    </row>
    <row r="586" spans="1:36">
      <c r="A586" s="1" t="str">
        <f>"ZE93BF4D00"</f>
        <v>ZE93BF4D00</v>
      </c>
      <c r="B586" s="1" t="str">
        <f t="shared" si="9"/>
        <v>02406911202</v>
      </c>
      <c r="C586" s="1" t="s">
        <v>13</v>
      </c>
      <c r="D586" s="1" t="s">
        <v>177</v>
      </c>
      <c r="E586" s="1" t="s">
        <v>775</v>
      </c>
      <c r="F586" s="1" t="s">
        <v>158</v>
      </c>
      <c r="G586" s="1" t="str">
        <f>"02410141200"</f>
        <v>02410141200</v>
      </c>
      <c r="I586" s="1" t="s">
        <v>776</v>
      </c>
      <c r="L586" s="1" t="s">
        <v>43</v>
      </c>
      <c r="M586" s="1">
        <v>6600</v>
      </c>
      <c r="AG586" s="1">
        <v>2200</v>
      </c>
      <c r="AH586" s="2">
        <v>45108</v>
      </c>
      <c r="AI586" s="2">
        <v>45291</v>
      </c>
      <c r="AJ586" s="2">
        <v>45108</v>
      </c>
    </row>
    <row r="587" spans="1:36">
      <c r="A587" s="1" t="str">
        <f>"Z133BEEF0B"</f>
        <v>Z133BEEF0B</v>
      </c>
      <c r="B587" s="1" t="str">
        <f t="shared" si="9"/>
        <v>02406911202</v>
      </c>
      <c r="C587" s="1" t="s">
        <v>13</v>
      </c>
      <c r="D587" s="1" t="s">
        <v>180</v>
      </c>
      <c r="E587" s="1" t="s">
        <v>181</v>
      </c>
      <c r="F587" s="1" t="s">
        <v>158</v>
      </c>
      <c r="G587" s="1" t="str">
        <f>"09750710965"</f>
        <v>09750710965</v>
      </c>
      <c r="I587" s="1" t="s">
        <v>777</v>
      </c>
      <c r="L587" s="1" t="s">
        <v>43</v>
      </c>
      <c r="M587" s="1">
        <v>5000</v>
      </c>
      <c r="AG587" s="1">
        <v>5796</v>
      </c>
      <c r="AH587" s="2">
        <v>45126</v>
      </c>
      <c r="AI587" s="2">
        <v>45291</v>
      </c>
      <c r="AJ587" s="2">
        <v>45126</v>
      </c>
    </row>
    <row r="588" spans="1:36">
      <c r="A588" s="1" t="str">
        <f>"ZCA3BF9410"</f>
        <v>ZCA3BF9410</v>
      </c>
      <c r="B588" s="1" t="str">
        <f t="shared" si="9"/>
        <v>02406911202</v>
      </c>
      <c r="C588" s="1" t="s">
        <v>13</v>
      </c>
      <c r="D588" s="1" t="s">
        <v>186</v>
      </c>
      <c r="E588" s="1" t="s">
        <v>778</v>
      </c>
      <c r="F588" s="1" t="s">
        <v>158</v>
      </c>
      <c r="G588" s="1" t="str">
        <f>"03833021201"</f>
        <v>03833021201</v>
      </c>
      <c r="I588" s="1" t="s">
        <v>779</v>
      </c>
      <c r="L588" s="1" t="s">
        <v>43</v>
      </c>
      <c r="M588" s="1">
        <v>4990</v>
      </c>
      <c r="AG588" s="1">
        <v>0</v>
      </c>
      <c r="AH588" s="2">
        <v>45108</v>
      </c>
      <c r="AI588" s="2">
        <v>45291</v>
      </c>
      <c r="AJ588" s="2">
        <v>45108</v>
      </c>
    </row>
    <row r="589" spans="1:36">
      <c r="A589" s="1" t="str">
        <f>"Z103BFDA87"</f>
        <v>Z103BFDA87</v>
      </c>
      <c r="B589" s="1" t="str">
        <f t="shared" si="9"/>
        <v>02406911202</v>
      </c>
      <c r="C589" s="1" t="s">
        <v>13</v>
      </c>
      <c r="D589" s="1" t="s">
        <v>180</v>
      </c>
      <c r="E589" s="1" t="s">
        <v>296</v>
      </c>
      <c r="F589" s="1" t="s">
        <v>158</v>
      </c>
      <c r="G589" s="1" t="str">
        <f>"09158150962"</f>
        <v>09158150962</v>
      </c>
      <c r="I589" s="1" t="s">
        <v>780</v>
      </c>
      <c r="L589" s="1" t="s">
        <v>43</v>
      </c>
      <c r="M589" s="1">
        <v>6000</v>
      </c>
      <c r="AG589" s="1">
        <v>1212</v>
      </c>
      <c r="AH589" s="2">
        <v>45131</v>
      </c>
      <c r="AI589" s="2">
        <v>45291</v>
      </c>
      <c r="AJ589" s="2">
        <v>45131</v>
      </c>
    </row>
    <row r="590" spans="1:36">
      <c r="A590" s="1" t="str">
        <f>"ZBA3BD28FF"</f>
        <v>ZBA3BD28FF</v>
      </c>
      <c r="B590" s="1" t="str">
        <f t="shared" si="9"/>
        <v>02406911202</v>
      </c>
      <c r="C590" s="1" t="s">
        <v>13</v>
      </c>
      <c r="D590" s="1" t="s">
        <v>264</v>
      </c>
      <c r="E590" s="1" t="s">
        <v>781</v>
      </c>
      <c r="F590" s="1" t="s">
        <v>158</v>
      </c>
      <c r="G590" s="1" t="str">
        <f>"10574970017"</f>
        <v>10574970017</v>
      </c>
      <c r="I590" s="1" t="s">
        <v>782</v>
      </c>
      <c r="L590" s="1" t="s">
        <v>43</v>
      </c>
      <c r="M590" s="1">
        <v>6400</v>
      </c>
      <c r="AG590" s="1">
        <v>1600</v>
      </c>
      <c r="AH590" s="2">
        <v>45113</v>
      </c>
      <c r="AI590" s="2">
        <v>45866</v>
      </c>
      <c r="AJ590" s="2">
        <v>45113</v>
      </c>
    </row>
    <row r="591" spans="1:36">
      <c r="A591" s="1" t="str">
        <f>"ZBA3BD28FF"</f>
        <v>ZBA3BD28FF</v>
      </c>
      <c r="B591" s="1" t="str">
        <f t="shared" si="9"/>
        <v>02406911202</v>
      </c>
      <c r="C591" s="1" t="s">
        <v>13</v>
      </c>
      <c r="D591" s="1" t="s">
        <v>264</v>
      </c>
      <c r="E591" s="1" t="s">
        <v>781</v>
      </c>
      <c r="F591" s="1" t="s">
        <v>158</v>
      </c>
      <c r="G591" s="1" t="str">
        <f>"02704520341"</f>
        <v>02704520341</v>
      </c>
      <c r="I591" s="1" t="s">
        <v>266</v>
      </c>
      <c r="L591" s="1" t="s">
        <v>100</v>
      </c>
      <c r="AJ591" s="2">
        <v>45113</v>
      </c>
    </row>
    <row r="592" spans="1:36">
      <c r="A592" s="1" t="str">
        <f>"ZBA3BD28FF"</f>
        <v>ZBA3BD28FF</v>
      </c>
      <c r="B592" s="1" t="str">
        <f t="shared" si="9"/>
        <v>02406911202</v>
      </c>
      <c r="C592" s="1" t="s">
        <v>13</v>
      </c>
      <c r="D592" s="1" t="s">
        <v>264</v>
      </c>
      <c r="E592" s="1" t="s">
        <v>781</v>
      </c>
      <c r="F592" s="1" t="s">
        <v>158</v>
      </c>
      <c r="G592" s="1" t="str">
        <f>"12572900152"</f>
        <v>12572900152</v>
      </c>
      <c r="I592" s="1" t="s">
        <v>335</v>
      </c>
      <c r="L592" s="1" t="s">
        <v>100</v>
      </c>
      <c r="AJ592" s="2">
        <v>45113</v>
      </c>
    </row>
    <row r="593" spans="1:36">
      <c r="A593" s="1" t="str">
        <f>"ZBA3BD28FF"</f>
        <v>ZBA3BD28FF</v>
      </c>
      <c r="B593" s="1" t="str">
        <f t="shared" si="9"/>
        <v>02406911202</v>
      </c>
      <c r="C593" s="1" t="s">
        <v>13</v>
      </c>
      <c r="D593" s="1" t="s">
        <v>264</v>
      </c>
      <c r="E593" s="1" t="s">
        <v>781</v>
      </c>
      <c r="F593" s="1" t="s">
        <v>158</v>
      </c>
      <c r="G593" s="1" t="str">
        <f>"02373581202"</f>
        <v>02373581202</v>
      </c>
      <c r="I593" s="1" t="s">
        <v>783</v>
      </c>
      <c r="L593" s="1" t="s">
        <v>100</v>
      </c>
      <c r="AJ593" s="2">
        <v>45113</v>
      </c>
    </row>
    <row r="594" spans="1:36">
      <c r="A594" s="1" t="str">
        <f>"Z5C3BEA1A7"</f>
        <v>Z5C3BEA1A7</v>
      </c>
      <c r="B594" s="1" t="str">
        <f t="shared" si="9"/>
        <v>02406911202</v>
      </c>
      <c r="C594" s="1" t="s">
        <v>13</v>
      </c>
      <c r="D594" s="1" t="s">
        <v>177</v>
      </c>
      <c r="E594" s="1" t="s">
        <v>784</v>
      </c>
      <c r="F594" s="1" t="s">
        <v>158</v>
      </c>
      <c r="G594" s="1" t="str">
        <f>"04201270370"</f>
        <v>04201270370</v>
      </c>
      <c r="I594" s="1" t="s">
        <v>516</v>
      </c>
      <c r="L594" s="1" t="s">
        <v>43</v>
      </c>
      <c r="M594" s="1">
        <v>2808000</v>
      </c>
      <c r="AG594" s="1">
        <v>474833.69</v>
      </c>
      <c r="AH594" s="2">
        <v>45108</v>
      </c>
      <c r="AI594" s="2">
        <v>45657</v>
      </c>
      <c r="AJ594" s="2">
        <v>45108</v>
      </c>
    </row>
    <row r="595" spans="1:36">
      <c r="A595" s="1" t="str">
        <f>"ZC33BEA000"</f>
        <v>ZC33BEA000</v>
      </c>
      <c r="B595" s="1" t="str">
        <f t="shared" si="9"/>
        <v>02406911202</v>
      </c>
      <c r="C595" s="1" t="s">
        <v>13</v>
      </c>
      <c r="D595" s="1" t="s">
        <v>177</v>
      </c>
      <c r="E595" s="1" t="s">
        <v>785</v>
      </c>
      <c r="F595" s="1" t="s">
        <v>158</v>
      </c>
      <c r="G595" s="1" t="str">
        <f>"03337111201"</f>
        <v>03337111201</v>
      </c>
      <c r="I595" s="1" t="s">
        <v>518</v>
      </c>
      <c r="L595" s="1" t="s">
        <v>43</v>
      </c>
      <c r="M595" s="1">
        <v>15166500</v>
      </c>
      <c r="AG595" s="1">
        <v>2605488.77</v>
      </c>
      <c r="AH595" s="2">
        <v>45108</v>
      </c>
      <c r="AI595" s="2">
        <v>45657</v>
      </c>
      <c r="AJ595" s="2">
        <v>45108</v>
      </c>
    </row>
    <row r="596" spans="1:36">
      <c r="A596" s="1" t="str">
        <f>"Z893BEA109"</f>
        <v>Z893BEA109</v>
      </c>
      <c r="B596" s="1" t="str">
        <f t="shared" si="9"/>
        <v>02406911202</v>
      </c>
      <c r="C596" s="1" t="s">
        <v>13</v>
      </c>
      <c r="D596" s="1" t="s">
        <v>177</v>
      </c>
      <c r="E596" s="1" t="s">
        <v>786</v>
      </c>
      <c r="F596" s="1" t="s">
        <v>158</v>
      </c>
      <c r="G596" s="1" t="str">
        <f>"04203930377"</f>
        <v>04203930377</v>
      </c>
      <c r="I596" s="1" t="s">
        <v>787</v>
      </c>
      <c r="L596" s="1" t="s">
        <v>43</v>
      </c>
      <c r="M596" s="1">
        <v>1884000</v>
      </c>
      <c r="AG596" s="1">
        <v>441597.53</v>
      </c>
      <c r="AH596" s="2">
        <v>45108</v>
      </c>
      <c r="AI596" s="2">
        <v>45657</v>
      </c>
      <c r="AJ596" s="2">
        <v>45108</v>
      </c>
    </row>
    <row r="597" spans="1:36">
      <c r="A597" s="1" t="str">
        <f>"ZD63BFED94"</f>
        <v>ZD63BFED94</v>
      </c>
      <c r="B597" s="1" t="str">
        <f t="shared" si="9"/>
        <v>02406911202</v>
      </c>
      <c r="C597" s="1" t="s">
        <v>13</v>
      </c>
      <c r="D597" s="1" t="s">
        <v>180</v>
      </c>
      <c r="E597" s="1" t="s">
        <v>279</v>
      </c>
      <c r="F597" s="1" t="s">
        <v>158</v>
      </c>
      <c r="G597" s="1" t="str">
        <f>"00919930164"</f>
        <v>00919930164</v>
      </c>
      <c r="I597" s="1" t="s">
        <v>788</v>
      </c>
      <c r="L597" s="1" t="s">
        <v>43</v>
      </c>
      <c r="M597" s="1">
        <v>5000</v>
      </c>
      <c r="AG597" s="1">
        <v>1458</v>
      </c>
      <c r="AH597" s="2">
        <v>45131</v>
      </c>
      <c r="AI597" s="2">
        <v>45657</v>
      </c>
      <c r="AJ597" s="2">
        <v>45131</v>
      </c>
    </row>
    <row r="598" spans="1:36">
      <c r="A598" s="1" t="str">
        <f>"Z8A3C0E1D2"</f>
        <v>Z8A3C0E1D2</v>
      </c>
      <c r="B598" s="1" t="str">
        <f t="shared" si="9"/>
        <v>02406911202</v>
      </c>
      <c r="C598" s="1" t="s">
        <v>13</v>
      </c>
      <c r="D598" s="1" t="s">
        <v>186</v>
      </c>
      <c r="E598" s="1" t="s">
        <v>789</v>
      </c>
      <c r="F598" s="1" t="s">
        <v>158</v>
      </c>
      <c r="G598" s="1" t="str">
        <f>"00777910159"</f>
        <v>00777910159</v>
      </c>
      <c r="I598" s="1" t="s">
        <v>790</v>
      </c>
      <c r="L598" s="1" t="s">
        <v>43</v>
      </c>
      <c r="M598" s="1">
        <v>570</v>
      </c>
      <c r="AG598" s="1">
        <v>0</v>
      </c>
      <c r="AH598" s="2">
        <v>45135</v>
      </c>
      <c r="AI598" s="2">
        <v>45291</v>
      </c>
      <c r="AJ598" s="2">
        <v>45135</v>
      </c>
    </row>
    <row r="599" spans="1:36">
      <c r="A599" s="1" t="str">
        <f>"A0019F3ACA"</f>
        <v>A0019F3ACA</v>
      </c>
      <c r="B599" s="1" t="str">
        <f t="shared" si="9"/>
        <v>02406911202</v>
      </c>
      <c r="C599" s="1" t="s">
        <v>13</v>
      </c>
      <c r="D599" s="1" t="s">
        <v>167</v>
      </c>
      <c r="E599" s="1" t="s">
        <v>791</v>
      </c>
      <c r="F599" s="1" t="s">
        <v>39</v>
      </c>
      <c r="G599" s="1" t="str">
        <f>"09291850155"</f>
        <v>09291850155</v>
      </c>
      <c r="I599" s="1" t="s">
        <v>792</v>
      </c>
      <c r="L599" s="1" t="s">
        <v>43</v>
      </c>
      <c r="M599" s="1">
        <v>78745</v>
      </c>
      <c r="AG599" s="1">
        <v>2895.84</v>
      </c>
      <c r="AH599" s="2">
        <v>45141</v>
      </c>
      <c r="AI599" s="2">
        <v>46143</v>
      </c>
      <c r="AJ599" s="2">
        <v>45141</v>
      </c>
    </row>
    <row r="600" spans="1:36">
      <c r="A600" s="1" t="str">
        <f>"Z373C1ECB0"</f>
        <v>Z373C1ECB0</v>
      </c>
      <c r="B600" s="1" t="str">
        <f t="shared" si="9"/>
        <v>02406911202</v>
      </c>
      <c r="C600" s="1" t="s">
        <v>13</v>
      </c>
      <c r="D600" s="1" t="s">
        <v>180</v>
      </c>
      <c r="E600" s="1" t="s">
        <v>281</v>
      </c>
      <c r="F600" s="1" t="s">
        <v>158</v>
      </c>
      <c r="G600" s="1" t="str">
        <f>"12572900152"</f>
        <v>12572900152</v>
      </c>
      <c r="I600" s="1" t="s">
        <v>335</v>
      </c>
      <c r="L600" s="1" t="s">
        <v>43</v>
      </c>
      <c r="M600" s="1">
        <v>6000</v>
      </c>
      <c r="AG600" s="1">
        <v>6700</v>
      </c>
      <c r="AH600" s="2">
        <v>45141</v>
      </c>
      <c r="AI600" s="2">
        <v>45291</v>
      </c>
      <c r="AJ600" s="2">
        <v>45141</v>
      </c>
    </row>
    <row r="601" spans="1:36">
      <c r="A601" s="1" t="str">
        <f>"ZD03C1ECBF"</f>
        <v>ZD03C1ECBF</v>
      </c>
      <c r="B601" s="1" t="str">
        <f t="shared" si="9"/>
        <v>02406911202</v>
      </c>
      <c r="C601" s="1" t="s">
        <v>13</v>
      </c>
      <c r="D601" s="1" t="s">
        <v>180</v>
      </c>
      <c r="E601" s="1" t="s">
        <v>491</v>
      </c>
      <c r="F601" s="1" t="s">
        <v>158</v>
      </c>
      <c r="G601" s="1" t="str">
        <f>"12572900152"</f>
        <v>12572900152</v>
      </c>
      <c r="I601" s="1" t="s">
        <v>335</v>
      </c>
      <c r="L601" s="1" t="s">
        <v>43</v>
      </c>
      <c r="M601" s="1">
        <v>6000</v>
      </c>
      <c r="AG601" s="1">
        <v>6302</v>
      </c>
      <c r="AH601" s="2">
        <v>45141</v>
      </c>
      <c r="AI601" s="2">
        <v>45291</v>
      </c>
      <c r="AJ601" s="2">
        <v>45141</v>
      </c>
    </row>
    <row r="602" spans="1:36">
      <c r="A602" s="1" t="str">
        <f>"A0018DC48F"</f>
        <v>A0018DC48F</v>
      </c>
      <c r="B602" s="1" t="str">
        <f t="shared" si="9"/>
        <v>02406911202</v>
      </c>
      <c r="C602" s="1" t="s">
        <v>13</v>
      </c>
      <c r="D602" s="1" t="s">
        <v>167</v>
      </c>
      <c r="E602" s="1" t="s">
        <v>793</v>
      </c>
      <c r="F602" s="1" t="s">
        <v>151</v>
      </c>
      <c r="G602" s="1" t="str">
        <f>"00471770016"</f>
        <v>00471770016</v>
      </c>
      <c r="I602" s="1" t="s">
        <v>794</v>
      </c>
      <c r="L602" s="1" t="s">
        <v>43</v>
      </c>
      <c r="M602" s="1">
        <v>341196.52</v>
      </c>
      <c r="AG602" s="1">
        <v>27590</v>
      </c>
      <c r="AH602" s="2">
        <v>45142</v>
      </c>
      <c r="AI602" s="2">
        <v>46022</v>
      </c>
      <c r="AJ602" s="2">
        <v>45142</v>
      </c>
    </row>
    <row r="603" spans="1:36">
      <c r="A603" s="1" t="str">
        <f>"A0018DC48F"</f>
        <v>A0018DC48F</v>
      </c>
      <c r="B603" s="1" t="str">
        <f t="shared" si="9"/>
        <v>02406911202</v>
      </c>
      <c r="C603" s="1" t="s">
        <v>13</v>
      </c>
      <c r="D603" s="1" t="s">
        <v>167</v>
      </c>
      <c r="E603" s="1" t="s">
        <v>793</v>
      </c>
      <c r="F603" s="1" t="s">
        <v>151</v>
      </c>
      <c r="G603" s="1" t="str">
        <f>"15281641009"</f>
        <v>15281641009</v>
      </c>
      <c r="I603" s="1" t="s">
        <v>795</v>
      </c>
      <c r="L603" s="1" t="s">
        <v>43</v>
      </c>
      <c r="M603" s="1">
        <v>341196.52</v>
      </c>
      <c r="AG603" s="1">
        <v>27590</v>
      </c>
      <c r="AH603" s="2">
        <v>45142</v>
      </c>
      <c r="AI603" s="2">
        <v>46022</v>
      </c>
      <c r="AJ603" s="2">
        <v>45142</v>
      </c>
    </row>
    <row r="604" spans="1:36">
      <c r="A604" s="1" t="str">
        <f>"Z6C3C7364B"</f>
        <v>Z6C3C7364B</v>
      </c>
      <c r="B604" s="1" t="str">
        <f t="shared" si="9"/>
        <v>02406911202</v>
      </c>
      <c r="C604" s="1" t="s">
        <v>13</v>
      </c>
      <c r="D604" s="1" t="s">
        <v>180</v>
      </c>
      <c r="E604" s="1" t="s">
        <v>220</v>
      </c>
      <c r="F604" s="1" t="s">
        <v>158</v>
      </c>
      <c r="G604" s="1" t="str">
        <f>"07862510018"</f>
        <v>07862510018</v>
      </c>
      <c r="I604" s="1" t="s">
        <v>330</v>
      </c>
      <c r="L604" s="1" t="s">
        <v>43</v>
      </c>
      <c r="M604" s="1">
        <v>5000</v>
      </c>
      <c r="AG604" s="1">
        <v>980</v>
      </c>
      <c r="AH604" s="2">
        <v>45183</v>
      </c>
      <c r="AI604" s="2">
        <v>45291</v>
      </c>
      <c r="AJ604" s="2">
        <v>45183</v>
      </c>
    </row>
    <row r="605" spans="1:36">
      <c r="A605" s="1" t="str">
        <f>"A00F22C988"</f>
        <v>A00F22C988</v>
      </c>
      <c r="B605" s="1" t="str">
        <f t="shared" si="9"/>
        <v>02406911202</v>
      </c>
      <c r="C605" s="1" t="s">
        <v>13</v>
      </c>
      <c r="D605" s="1" t="s">
        <v>167</v>
      </c>
      <c r="E605" s="1" t="s">
        <v>796</v>
      </c>
      <c r="F605" s="1" t="s">
        <v>151</v>
      </c>
      <c r="G605" s="1" t="str">
        <f>"03960230377"</f>
        <v>03960230377</v>
      </c>
      <c r="I605" s="1" t="s">
        <v>135</v>
      </c>
      <c r="L605" s="1" t="s">
        <v>43</v>
      </c>
      <c r="M605" s="1">
        <v>14000</v>
      </c>
      <c r="AG605" s="1">
        <v>1493.92</v>
      </c>
      <c r="AH605" s="2">
        <v>45190</v>
      </c>
      <c r="AI605" s="2">
        <v>45372</v>
      </c>
      <c r="AJ605" s="2">
        <v>45190</v>
      </c>
    </row>
    <row r="606" spans="1:36">
      <c r="A606" s="1" t="str">
        <f>"ZD03C7C105"</f>
        <v>ZD03C7C105</v>
      </c>
      <c r="B606" s="1" t="str">
        <f t="shared" si="9"/>
        <v>02406911202</v>
      </c>
      <c r="C606" s="1" t="s">
        <v>13</v>
      </c>
      <c r="D606" s="1" t="s">
        <v>180</v>
      </c>
      <c r="E606" s="1" t="s">
        <v>281</v>
      </c>
      <c r="F606" s="1" t="s">
        <v>158</v>
      </c>
      <c r="G606" s="1" t="str">
        <f>"09270550016"</f>
        <v>09270550016</v>
      </c>
      <c r="I606" s="1" t="s">
        <v>406</v>
      </c>
      <c r="L606" s="1" t="s">
        <v>43</v>
      </c>
      <c r="M606" s="1">
        <v>6000</v>
      </c>
      <c r="AG606" s="1">
        <v>6594.5</v>
      </c>
      <c r="AH606" s="2">
        <v>45187</v>
      </c>
      <c r="AI606" s="2">
        <v>45291</v>
      </c>
      <c r="AJ606" s="2">
        <v>45187</v>
      </c>
    </row>
    <row r="607" spans="1:36">
      <c r="A607" s="1" t="str">
        <f>"Z1A3C81745"</f>
        <v>Z1A3C81745</v>
      </c>
      <c r="B607" s="1" t="str">
        <f t="shared" si="9"/>
        <v>02406911202</v>
      </c>
      <c r="C607" s="1" t="s">
        <v>13</v>
      </c>
      <c r="D607" s="1" t="s">
        <v>180</v>
      </c>
      <c r="E607" s="1" t="s">
        <v>315</v>
      </c>
      <c r="F607" s="1" t="s">
        <v>158</v>
      </c>
      <c r="G607" s="1" t="str">
        <f>"13205681003"</f>
        <v>13205681003</v>
      </c>
      <c r="I607" s="1" t="s">
        <v>797</v>
      </c>
      <c r="L607" s="1" t="s">
        <v>43</v>
      </c>
      <c r="M607" s="1">
        <v>5000</v>
      </c>
      <c r="AG607" s="1">
        <v>258</v>
      </c>
      <c r="AH607" s="2">
        <v>45188</v>
      </c>
      <c r="AI607" s="2">
        <v>45657</v>
      </c>
      <c r="AJ607" s="2">
        <v>45188</v>
      </c>
    </row>
    <row r="608" spans="1:36">
      <c r="A608" s="1" t="str">
        <f>"ZC23C82337"</f>
        <v>ZC23C82337</v>
      </c>
      <c r="B608" s="1" t="str">
        <f t="shared" si="9"/>
        <v>02406911202</v>
      </c>
      <c r="C608" s="1" t="s">
        <v>13</v>
      </c>
      <c r="D608" s="1" t="s">
        <v>180</v>
      </c>
      <c r="E608" s="1" t="s">
        <v>281</v>
      </c>
      <c r="F608" s="1" t="s">
        <v>158</v>
      </c>
      <c r="G608" s="1" t="str">
        <f>"12572900152"</f>
        <v>12572900152</v>
      </c>
      <c r="I608" s="1" t="s">
        <v>335</v>
      </c>
      <c r="L608" s="1" t="s">
        <v>43</v>
      </c>
      <c r="M608" s="1">
        <v>6000</v>
      </c>
      <c r="AG608" s="1">
        <v>7037</v>
      </c>
      <c r="AH608" s="2">
        <v>45188</v>
      </c>
      <c r="AI608" s="2">
        <v>45291</v>
      </c>
      <c r="AJ608" s="2">
        <v>45188</v>
      </c>
    </row>
    <row r="609" spans="1:36">
      <c r="A609" s="1" t="str">
        <f>"Z733C82479"</f>
        <v>Z733C82479</v>
      </c>
      <c r="B609" s="1" t="str">
        <f t="shared" si="9"/>
        <v>02406911202</v>
      </c>
      <c r="C609" s="1" t="s">
        <v>13</v>
      </c>
      <c r="D609" s="1" t="s">
        <v>186</v>
      </c>
      <c r="E609" s="1" t="s">
        <v>798</v>
      </c>
      <c r="F609" s="1" t="s">
        <v>158</v>
      </c>
      <c r="G609" s="1" t="str">
        <f>"00197370281"</f>
        <v>00197370281</v>
      </c>
      <c r="I609" s="1" t="s">
        <v>347</v>
      </c>
      <c r="L609" s="1" t="s">
        <v>43</v>
      </c>
      <c r="M609" s="1">
        <v>1000</v>
      </c>
      <c r="AG609" s="1">
        <v>0</v>
      </c>
      <c r="AH609" s="2">
        <v>45188</v>
      </c>
      <c r="AI609" s="2">
        <v>45291</v>
      </c>
      <c r="AJ609" s="2">
        <v>45188</v>
      </c>
    </row>
    <row r="610" spans="1:36">
      <c r="A610" s="1" t="str">
        <f>"ZD33BF6B59"</f>
        <v>ZD33BF6B59</v>
      </c>
      <c r="B610" s="1" t="str">
        <f t="shared" si="9"/>
        <v>02406911202</v>
      </c>
      <c r="C610" s="1" t="s">
        <v>13</v>
      </c>
      <c r="D610" s="1" t="s">
        <v>180</v>
      </c>
      <c r="E610" s="1" t="s">
        <v>181</v>
      </c>
      <c r="F610" s="1" t="s">
        <v>158</v>
      </c>
      <c r="G610" s="1" t="str">
        <f>"11654150157"</f>
        <v>11654150157</v>
      </c>
      <c r="I610" s="1" t="s">
        <v>263</v>
      </c>
      <c r="L610" s="1" t="s">
        <v>43</v>
      </c>
      <c r="M610" s="1">
        <v>6000</v>
      </c>
      <c r="AG610" s="1">
        <v>4800</v>
      </c>
      <c r="AH610" s="2">
        <v>45127</v>
      </c>
      <c r="AI610" s="2">
        <v>45291</v>
      </c>
      <c r="AJ610" s="2">
        <v>45127</v>
      </c>
    </row>
    <row r="611" spans="1:36">
      <c r="A611" s="1" t="str">
        <f>"ZCE3C0A0CF"</f>
        <v>ZCE3C0A0CF</v>
      </c>
      <c r="B611" s="1" t="str">
        <f t="shared" si="9"/>
        <v>02406911202</v>
      </c>
      <c r="C611" s="1" t="s">
        <v>13</v>
      </c>
      <c r="D611" s="1" t="s">
        <v>186</v>
      </c>
      <c r="E611" s="1" t="s">
        <v>799</v>
      </c>
      <c r="F611" s="1" t="s">
        <v>158</v>
      </c>
      <c r="G611" s="1" t="str">
        <f>"01778301208"</f>
        <v>01778301208</v>
      </c>
      <c r="I611" s="1" t="s">
        <v>800</v>
      </c>
      <c r="L611" s="1" t="s">
        <v>43</v>
      </c>
      <c r="M611" s="1">
        <v>4999</v>
      </c>
      <c r="AG611" s="1">
        <v>1363.8</v>
      </c>
      <c r="AH611" s="2">
        <v>45134</v>
      </c>
      <c r="AI611" s="2">
        <v>46022</v>
      </c>
      <c r="AJ611" s="2">
        <v>45134</v>
      </c>
    </row>
    <row r="612" spans="1:36">
      <c r="A612" s="1" t="str">
        <f>"977891471D"</f>
        <v>977891471D</v>
      </c>
      <c r="B612" s="1" t="str">
        <f t="shared" si="9"/>
        <v>02406911202</v>
      </c>
      <c r="C612" s="1" t="s">
        <v>13</v>
      </c>
      <c r="D612" s="1" t="s">
        <v>167</v>
      </c>
      <c r="E612" s="1" t="s">
        <v>801</v>
      </c>
      <c r="F612" s="1" t="s">
        <v>286</v>
      </c>
      <c r="G612" s="1" t="str">
        <f>"09563660969"</f>
        <v>09563660969</v>
      </c>
      <c r="I612" s="1" t="s">
        <v>802</v>
      </c>
      <c r="L612" s="1" t="s">
        <v>43</v>
      </c>
      <c r="M612" s="1">
        <v>15480</v>
      </c>
      <c r="AG612" s="1">
        <v>0</v>
      </c>
      <c r="AH612" s="2">
        <v>45113</v>
      </c>
      <c r="AI612" s="2">
        <v>45291</v>
      </c>
      <c r="AJ612" s="2">
        <v>45113</v>
      </c>
    </row>
    <row r="613" spans="1:36">
      <c r="A613" s="1" t="str">
        <f>"97789157F0"</f>
        <v>97789157F0</v>
      </c>
      <c r="B613" s="1" t="str">
        <f t="shared" si="9"/>
        <v>02406911202</v>
      </c>
      <c r="C613" s="1" t="s">
        <v>13</v>
      </c>
      <c r="D613" s="1" t="s">
        <v>167</v>
      </c>
      <c r="E613" s="1" t="s">
        <v>803</v>
      </c>
      <c r="F613" s="1" t="s">
        <v>286</v>
      </c>
      <c r="G613" s="1" t="str">
        <f>"02285440398"</f>
        <v>02285440398</v>
      </c>
      <c r="I613" s="1" t="s">
        <v>356</v>
      </c>
      <c r="L613" s="1" t="s">
        <v>43</v>
      </c>
      <c r="M613" s="1">
        <v>99750</v>
      </c>
      <c r="AG613" s="1">
        <v>0</v>
      </c>
      <c r="AH613" s="2">
        <v>45113</v>
      </c>
      <c r="AI613" s="2">
        <v>45291</v>
      </c>
      <c r="AJ613" s="2">
        <v>45113</v>
      </c>
    </row>
    <row r="614" spans="1:36">
      <c r="A614" s="1" t="str">
        <f>"Z803C257A0"</f>
        <v>Z803C257A0</v>
      </c>
      <c r="B614" s="1" t="str">
        <f t="shared" si="9"/>
        <v>02406911202</v>
      </c>
      <c r="C614" s="1" t="s">
        <v>13</v>
      </c>
      <c r="D614" s="1" t="s">
        <v>180</v>
      </c>
      <c r="E614" s="1" t="s">
        <v>281</v>
      </c>
      <c r="F614" s="1" t="s">
        <v>158</v>
      </c>
      <c r="G614" s="1" t="str">
        <f>"12572900152"</f>
        <v>12572900152</v>
      </c>
      <c r="I614" s="1" t="s">
        <v>335</v>
      </c>
      <c r="L614" s="1" t="s">
        <v>43</v>
      </c>
      <c r="M614" s="1">
        <v>6000</v>
      </c>
      <c r="AG614" s="1">
        <v>6505.29</v>
      </c>
      <c r="AH614" s="2">
        <v>45145</v>
      </c>
      <c r="AI614" s="2">
        <v>45291</v>
      </c>
      <c r="AJ614" s="2">
        <v>45145</v>
      </c>
    </row>
    <row r="615" spans="1:36">
      <c r="A615" s="1" t="str">
        <f>"Z9A3C320C4"</f>
        <v>Z9A3C320C4</v>
      </c>
      <c r="B615" s="1" t="str">
        <f t="shared" si="9"/>
        <v>02406911202</v>
      </c>
      <c r="C615" s="1" t="s">
        <v>13</v>
      </c>
      <c r="D615" s="1" t="s">
        <v>180</v>
      </c>
      <c r="E615" s="1" t="s">
        <v>279</v>
      </c>
      <c r="F615" s="1" t="s">
        <v>158</v>
      </c>
      <c r="G615" s="1" t="str">
        <f>"11467381007"</f>
        <v>11467381007</v>
      </c>
      <c r="I615" s="1" t="s">
        <v>804</v>
      </c>
      <c r="L615" s="1" t="s">
        <v>43</v>
      </c>
      <c r="M615" s="1">
        <v>5000</v>
      </c>
      <c r="AG615" s="1">
        <v>1045.74</v>
      </c>
      <c r="AH615" s="2">
        <v>45152</v>
      </c>
      <c r="AI615" s="2">
        <v>45291</v>
      </c>
      <c r="AJ615" s="2">
        <v>45152</v>
      </c>
    </row>
    <row r="616" spans="1:36">
      <c r="A616" s="1" t="str">
        <f>"ZD03C346DA"</f>
        <v>ZD03C346DA</v>
      </c>
      <c r="B616" s="1" t="str">
        <f t="shared" si="9"/>
        <v>02406911202</v>
      </c>
      <c r="C616" s="1" t="s">
        <v>13</v>
      </c>
      <c r="D616" s="1" t="s">
        <v>186</v>
      </c>
      <c r="E616" s="1" t="s">
        <v>805</v>
      </c>
      <c r="F616" s="1" t="s">
        <v>158</v>
      </c>
      <c r="G616" s="1" t="str">
        <f>"04216820268"</f>
        <v>04216820268</v>
      </c>
      <c r="I616" s="1" t="s">
        <v>806</v>
      </c>
      <c r="L616" s="1" t="s">
        <v>43</v>
      </c>
      <c r="M616" s="1">
        <v>2000</v>
      </c>
      <c r="AG616" s="1">
        <v>0</v>
      </c>
      <c r="AH616" s="2">
        <v>45155</v>
      </c>
      <c r="AI616" s="2">
        <v>45657</v>
      </c>
      <c r="AJ616" s="2">
        <v>45155</v>
      </c>
    </row>
    <row r="617" spans="1:36">
      <c r="A617" s="1" t="str">
        <f>"Z173C42399"</f>
        <v>Z173C42399</v>
      </c>
      <c r="B617" s="1" t="str">
        <f t="shared" si="9"/>
        <v>02406911202</v>
      </c>
      <c r="C617" s="1" t="s">
        <v>13</v>
      </c>
      <c r="D617" s="1" t="s">
        <v>180</v>
      </c>
      <c r="E617" s="1" t="s">
        <v>296</v>
      </c>
      <c r="F617" s="1" t="s">
        <v>158</v>
      </c>
      <c r="G617" s="1" t="str">
        <f>"11575580151"</f>
        <v>11575580151</v>
      </c>
      <c r="I617" s="1" t="s">
        <v>127</v>
      </c>
      <c r="L617" s="1" t="s">
        <v>43</v>
      </c>
      <c r="M617" s="1">
        <v>6000</v>
      </c>
      <c r="AG617" s="1">
        <v>6354</v>
      </c>
      <c r="AH617" s="2">
        <v>45163</v>
      </c>
      <c r="AI617" s="2">
        <v>45291</v>
      </c>
      <c r="AJ617" s="2">
        <v>45163</v>
      </c>
    </row>
    <row r="618" spans="1:36">
      <c r="A618" s="1" t="str">
        <f>"ZD33C475A5"</f>
        <v>ZD33C475A5</v>
      </c>
      <c r="B618" s="1" t="str">
        <f t="shared" si="9"/>
        <v>02406911202</v>
      </c>
      <c r="C618" s="1" t="s">
        <v>13</v>
      </c>
      <c r="D618" s="1" t="s">
        <v>186</v>
      </c>
      <c r="E618" s="1" t="s">
        <v>807</v>
      </c>
      <c r="F618" s="1" t="s">
        <v>158</v>
      </c>
      <c r="G618" s="1" t="str">
        <f>"04270270400"</f>
        <v>04270270400</v>
      </c>
      <c r="I618" s="1" t="s">
        <v>808</v>
      </c>
      <c r="L618" s="1" t="s">
        <v>43</v>
      </c>
      <c r="M618" s="1">
        <v>4990</v>
      </c>
      <c r="AG618" s="1">
        <v>4983.7</v>
      </c>
      <c r="AH618" s="2">
        <v>45167</v>
      </c>
      <c r="AI618" s="2">
        <v>45291</v>
      </c>
      <c r="AJ618" s="2">
        <v>45167</v>
      </c>
    </row>
    <row r="619" spans="1:36">
      <c r="A619" s="1" t="str">
        <f>"ZB13C7249D"</f>
        <v>ZB13C7249D</v>
      </c>
      <c r="B619" s="1" t="str">
        <f t="shared" si="9"/>
        <v>02406911202</v>
      </c>
      <c r="C619" s="1" t="s">
        <v>13</v>
      </c>
      <c r="D619" s="1" t="s">
        <v>186</v>
      </c>
      <c r="E619" s="1" t="s">
        <v>809</v>
      </c>
      <c r="F619" s="1" t="s">
        <v>158</v>
      </c>
      <c r="G619" s="1" t="str">
        <f>"02194160962"</f>
        <v>02194160962</v>
      </c>
      <c r="I619" s="1" t="s">
        <v>810</v>
      </c>
      <c r="L619" s="1" t="s">
        <v>43</v>
      </c>
      <c r="M619" s="1">
        <v>4999</v>
      </c>
      <c r="AG619" s="1">
        <v>403.2</v>
      </c>
      <c r="AH619" s="2">
        <v>45182</v>
      </c>
      <c r="AI619" s="2">
        <v>45657</v>
      </c>
      <c r="AJ619" s="2">
        <v>45182</v>
      </c>
    </row>
    <row r="620" spans="1:36">
      <c r="A620" s="1" t="str">
        <f>"A00F2CDE63"</f>
        <v>A00F2CDE63</v>
      </c>
      <c r="B620" s="1" t="str">
        <f t="shared" si="9"/>
        <v>02406911202</v>
      </c>
      <c r="C620" s="1" t="s">
        <v>13</v>
      </c>
      <c r="D620" s="1" t="s">
        <v>177</v>
      </c>
      <c r="E620" s="1" t="s">
        <v>811</v>
      </c>
      <c r="F620" s="1" t="s">
        <v>39</v>
      </c>
      <c r="G620" s="1" t="str">
        <f>"04144000371"</f>
        <v>04144000371</v>
      </c>
      <c r="I620" s="1" t="s">
        <v>256</v>
      </c>
      <c r="L620" s="1" t="s">
        <v>43</v>
      </c>
      <c r="M620" s="1">
        <v>73188</v>
      </c>
      <c r="AG620" s="1">
        <v>9272</v>
      </c>
      <c r="AH620" s="2">
        <v>45108</v>
      </c>
      <c r="AI620" s="2">
        <v>45291</v>
      </c>
      <c r="AJ620" s="2">
        <v>45108</v>
      </c>
    </row>
    <row r="621" spans="1:36">
      <c r="A621" s="1" t="str">
        <f>"ZB13C3C6C8"</f>
        <v>ZB13C3C6C8</v>
      </c>
      <c r="B621" s="1" t="str">
        <f t="shared" si="9"/>
        <v>02406911202</v>
      </c>
      <c r="C621" s="1" t="s">
        <v>13</v>
      </c>
      <c r="D621" s="1" t="s">
        <v>186</v>
      </c>
      <c r="E621" s="1" t="s">
        <v>812</v>
      </c>
      <c r="F621" s="1" t="s">
        <v>158</v>
      </c>
      <c r="G621" s="1" t="str">
        <f>"00206830135"</f>
        <v>00206830135</v>
      </c>
      <c r="I621" s="1" t="s">
        <v>813</v>
      </c>
      <c r="L621" s="1" t="s">
        <v>43</v>
      </c>
      <c r="M621" s="1">
        <v>15000</v>
      </c>
      <c r="AG621" s="1">
        <v>0</v>
      </c>
      <c r="AH621" s="2">
        <v>45161</v>
      </c>
      <c r="AI621" s="2">
        <v>45382</v>
      </c>
      <c r="AJ621" s="2">
        <v>45161</v>
      </c>
    </row>
    <row r="622" spans="1:36">
      <c r="A622" s="1" t="str">
        <f>"Z3A3C8CB7A"</f>
        <v>Z3A3C8CB7A</v>
      </c>
      <c r="B622" s="1" t="str">
        <f t="shared" si="9"/>
        <v>02406911202</v>
      </c>
      <c r="C622" s="1" t="s">
        <v>13</v>
      </c>
      <c r="D622" s="1" t="s">
        <v>164</v>
      </c>
      <c r="E622" s="1" t="s">
        <v>814</v>
      </c>
      <c r="F622" s="1" t="s">
        <v>158</v>
      </c>
      <c r="G622" s="1" t="str">
        <f>"07853330152"</f>
        <v>07853330152</v>
      </c>
      <c r="I622" s="1" t="s">
        <v>815</v>
      </c>
      <c r="L622" s="1" t="s">
        <v>43</v>
      </c>
      <c r="M622" s="1">
        <v>998</v>
      </c>
      <c r="AG622" s="1">
        <v>998</v>
      </c>
      <c r="AH622" s="2">
        <v>45190</v>
      </c>
      <c r="AI622" s="2">
        <v>45291</v>
      </c>
      <c r="AJ622" s="2">
        <v>45190</v>
      </c>
    </row>
    <row r="623" spans="1:36">
      <c r="A623" s="1" t="str">
        <f>"992755096B"</f>
        <v>992755096B</v>
      </c>
      <c r="B623" s="1" t="str">
        <f t="shared" si="9"/>
        <v>02406911202</v>
      </c>
      <c r="C623" s="1" t="s">
        <v>13</v>
      </c>
      <c r="D623" s="1" t="s">
        <v>186</v>
      </c>
      <c r="E623" s="1" t="s">
        <v>816</v>
      </c>
      <c r="F623" s="1" t="s">
        <v>158</v>
      </c>
      <c r="G623" s="1" t="str">
        <f>"04646530586"</f>
        <v>04646530586</v>
      </c>
      <c r="I623" s="1" t="s">
        <v>817</v>
      </c>
      <c r="L623" s="1" t="s">
        <v>43</v>
      </c>
      <c r="M623" s="1">
        <v>37521</v>
      </c>
      <c r="AG623" s="1">
        <v>5196</v>
      </c>
      <c r="AH623" s="2">
        <v>45114</v>
      </c>
      <c r="AI623" s="2">
        <v>45688</v>
      </c>
      <c r="AJ623" s="2">
        <v>45114</v>
      </c>
    </row>
    <row r="624" spans="1:36">
      <c r="A624" s="1" t="str">
        <f>"Z753BD07B1"</f>
        <v>Z753BD07B1</v>
      </c>
      <c r="B624" s="1" t="str">
        <f t="shared" si="9"/>
        <v>02406911202</v>
      </c>
      <c r="C624" s="1" t="s">
        <v>13</v>
      </c>
      <c r="D624" s="1" t="s">
        <v>180</v>
      </c>
      <c r="E624" s="1" t="s">
        <v>220</v>
      </c>
      <c r="F624" s="1" t="s">
        <v>158</v>
      </c>
      <c r="G624" s="1" t="str">
        <f>"03597020373"</f>
        <v>03597020373</v>
      </c>
      <c r="I624" s="1" t="s">
        <v>254</v>
      </c>
      <c r="L624" s="1" t="s">
        <v>43</v>
      </c>
      <c r="M624" s="1">
        <v>6000</v>
      </c>
      <c r="AG624" s="1">
        <v>5950</v>
      </c>
      <c r="AH624" s="2">
        <v>45114</v>
      </c>
      <c r="AI624" s="2">
        <v>45291</v>
      </c>
      <c r="AJ624" s="2">
        <v>45114</v>
      </c>
    </row>
    <row r="625" spans="1:36">
      <c r="A625" s="1" t="str">
        <f>"ZB03C21A0C"</f>
        <v>ZB03C21A0C</v>
      </c>
      <c r="B625" s="1" t="str">
        <f t="shared" si="9"/>
        <v>02406911202</v>
      </c>
      <c r="C625" s="1" t="s">
        <v>13</v>
      </c>
      <c r="D625" s="1" t="s">
        <v>180</v>
      </c>
      <c r="E625" s="1" t="s">
        <v>296</v>
      </c>
      <c r="F625" s="1" t="s">
        <v>158</v>
      </c>
      <c r="G625" s="1" t="str">
        <f>"02173550282"</f>
        <v>02173550282</v>
      </c>
      <c r="I625" s="1" t="s">
        <v>548</v>
      </c>
      <c r="L625" s="1" t="s">
        <v>43</v>
      </c>
      <c r="M625" s="1">
        <v>6000</v>
      </c>
      <c r="AG625" s="1">
        <v>5432.02</v>
      </c>
      <c r="AH625" s="2">
        <v>45142</v>
      </c>
      <c r="AI625" s="2">
        <v>45291</v>
      </c>
      <c r="AJ625" s="2">
        <v>45142</v>
      </c>
    </row>
    <row r="626" spans="1:36">
      <c r="A626" s="1" t="str">
        <f>"9932214248"</f>
        <v>9932214248</v>
      </c>
      <c r="B626" s="1" t="str">
        <f t="shared" si="9"/>
        <v>02406911202</v>
      </c>
      <c r="C626" s="1" t="s">
        <v>13</v>
      </c>
      <c r="D626" s="1" t="s">
        <v>186</v>
      </c>
      <c r="E626" s="1" t="s">
        <v>818</v>
      </c>
      <c r="F626" s="1" t="s">
        <v>158</v>
      </c>
      <c r="G626" s="1" t="str">
        <f>"00805390283"</f>
        <v>00805390283</v>
      </c>
      <c r="I626" s="1" t="s">
        <v>422</v>
      </c>
      <c r="L626" s="1" t="s">
        <v>43</v>
      </c>
      <c r="M626" s="1">
        <v>35440</v>
      </c>
      <c r="AG626" s="1">
        <v>9075</v>
      </c>
      <c r="AH626" s="2">
        <v>45118</v>
      </c>
      <c r="AI626" s="2">
        <v>45504</v>
      </c>
      <c r="AJ626" s="2">
        <v>45118</v>
      </c>
    </row>
    <row r="627" spans="1:36">
      <c r="A627" s="1" t="str">
        <f>"99521516CF"</f>
        <v>99521516CF</v>
      </c>
      <c r="B627" s="1" t="str">
        <f t="shared" si="9"/>
        <v>02406911202</v>
      </c>
      <c r="C627" s="1" t="s">
        <v>13</v>
      </c>
      <c r="D627" s="1" t="s">
        <v>167</v>
      </c>
      <c r="E627" s="1" t="s">
        <v>819</v>
      </c>
      <c r="F627" s="1" t="s">
        <v>39</v>
      </c>
      <c r="G627" s="1" t="str">
        <f>"00492340583"</f>
        <v>00492340583</v>
      </c>
      <c r="I627" s="1" t="s">
        <v>56</v>
      </c>
      <c r="L627" s="1" t="s">
        <v>43</v>
      </c>
      <c r="M627" s="1">
        <v>74968.75</v>
      </c>
      <c r="AG627" s="1">
        <v>27694.799999999999</v>
      </c>
      <c r="AH627" s="2">
        <v>45119</v>
      </c>
      <c r="AI627" s="2">
        <v>45565</v>
      </c>
      <c r="AJ627" s="2">
        <v>45119</v>
      </c>
    </row>
    <row r="628" spans="1:36">
      <c r="A628" s="1" t="str">
        <f>"9952161F0D"</f>
        <v>9952161F0D</v>
      </c>
      <c r="B628" s="1" t="str">
        <f t="shared" si="9"/>
        <v>02406911202</v>
      </c>
      <c r="C628" s="1" t="s">
        <v>13</v>
      </c>
      <c r="D628" s="1" t="s">
        <v>167</v>
      </c>
      <c r="E628" s="1" t="s">
        <v>820</v>
      </c>
      <c r="F628" s="1" t="s">
        <v>39</v>
      </c>
      <c r="G628" s="1" t="str">
        <f>"00674840152"</f>
        <v>00674840152</v>
      </c>
      <c r="I628" s="1" t="s">
        <v>87</v>
      </c>
      <c r="L628" s="1" t="s">
        <v>43</v>
      </c>
      <c r="M628" s="1">
        <v>101250</v>
      </c>
      <c r="AG628" s="1">
        <v>41356.800000000003</v>
      </c>
      <c r="AH628" s="2">
        <v>45119</v>
      </c>
      <c r="AI628" s="2">
        <v>45565</v>
      </c>
      <c r="AJ628" s="2">
        <v>45119</v>
      </c>
    </row>
    <row r="629" spans="1:36">
      <c r="A629" s="1" t="str">
        <f>"9966602C25"</f>
        <v>9966602C25</v>
      </c>
      <c r="B629" s="1" t="str">
        <f t="shared" si="9"/>
        <v>02406911202</v>
      </c>
      <c r="C629" s="1" t="s">
        <v>13</v>
      </c>
      <c r="D629" s="1" t="s">
        <v>167</v>
      </c>
      <c r="E629" s="1" t="s">
        <v>821</v>
      </c>
      <c r="F629" s="1" t="s">
        <v>39</v>
      </c>
      <c r="G629" s="1" t="str">
        <f>"02006400960"</f>
        <v>02006400960</v>
      </c>
      <c r="I629" s="1" t="s">
        <v>54</v>
      </c>
      <c r="L629" s="1" t="s">
        <v>43</v>
      </c>
      <c r="M629" s="1">
        <v>936098.13</v>
      </c>
      <c r="AG629" s="1">
        <v>116348.55</v>
      </c>
      <c r="AH629" s="2">
        <v>45139</v>
      </c>
      <c r="AI629" s="2">
        <v>45321</v>
      </c>
      <c r="AJ629" s="2">
        <v>45139</v>
      </c>
    </row>
    <row r="630" spans="1:36">
      <c r="A630" s="1" t="str">
        <f>"ZC63C126F0"</f>
        <v>ZC63C126F0</v>
      </c>
      <c r="B630" s="1" t="str">
        <f t="shared" si="9"/>
        <v>02406911202</v>
      </c>
      <c r="C630" s="1" t="s">
        <v>13</v>
      </c>
      <c r="D630" s="1" t="s">
        <v>264</v>
      </c>
      <c r="E630" s="1" t="s">
        <v>822</v>
      </c>
      <c r="F630" s="1" t="s">
        <v>158</v>
      </c>
      <c r="G630" s="1" t="str">
        <f>"05297730961"</f>
        <v>05297730961</v>
      </c>
      <c r="I630" s="1" t="s">
        <v>823</v>
      </c>
      <c r="L630" s="1" t="s">
        <v>43</v>
      </c>
      <c r="M630" s="1">
        <v>5000</v>
      </c>
      <c r="AG630" s="1">
        <v>1800</v>
      </c>
      <c r="AH630" s="2">
        <v>45138</v>
      </c>
      <c r="AI630" s="2">
        <v>45291</v>
      </c>
      <c r="AJ630" s="2">
        <v>45138</v>
      </c>
    </row>
    <row r="631" spans="1:36">
      <c r="A631" s="1" t="str">
        <f>"Z813C33385"</f>
        <v>Z813C33385</v>
      </c>
      <c r="B631" s="1" t="str">
        <f t="shared" si="9"/>
        <v>02406911202</v>
      </c>
      <c r="C631" s="1" t="s">
        <v>13</v>
      </c>
      <c r="D631" s="1" t="s">
        <v>180</v>
      </c>
      <c r="E631" s="1" t="s">
        <v>281</v>
      </c>
      <c r="F631" s="1" t="s">
        <v>158</v>
      </c>
      <c r="G631" s="1" t="str">
        <f>"02416870992"</f>
        <v>02416870992</v>
      </c>
      <c r="I631" s="1" t="s">
        <v>824</v>
      </c>
      <c r="L631" s="1" t="s">
        <v>43</v>
      </c>
      <c r="M631" s="1">
        <v>6000</v>
      </c>
      <c r="AG631" s="1">
        <v>2826</v>
      </c>
      <c r="AH631" s="2">
        <v>45154</v>
      </c>
      <c r="AI631" s="2">
        <v>45291</v>
      </c>
      <c r="AJ631" s="2">
        <v>45154</v>
      </c>
    </row>
    <row r="632" spans="1:36">
      <c r="A632" s="1" t="str">
        <f>"Z453C33404"</f>
        <v>Z453C33404</v>
      </c>
      <c r="B632" s="1" t="str">
        <f t="shared" si="9"/>
        <v>02406911202</v>
      </c>
      <c r="C632" s="1" t="s">
        <v>13</v>
      </c>
      <c r="D632" s="1" t="s">
        <v>180</v>
      </c>
      <c r="E632" s="1" t="s">
        <v>281</v>
      </c>
      <c r="F632" s="1" t="s">
        <v>158</v>
      </c>
      <c r="G632" s="1" t="str">
        <f>"00514240142"</f>
        <v>00514240142</v>
      </c>
      <c r="I632" s="1" t="s">
        <v>492</v>
      </c>
      <c r="L632" s="1" t="s">
        <v>43</v>
      </c>
      <c r="M632" s="1">
        <v>6000</v>
      </c>
      <c r="AG632" s="1">
        <v>4547.8</v>
      </c>
      <c r="AH632" s="2">
        <v>45154</v>
      </c>
      <c r="AI632" s="2">
        <v>45291</v>
      </c>
      <c r="AJ632" s="2">
        <v>45154</v>
      </c>
    </row>
    <row r="633" spans="1:36">
      <c r="A633" s="1" t="str">
        <f>"A0075A3481"</f>
        <v>A0075A3481</v>
      </c>
      <c r="B633" s="1" t="str">
        <f t="shared" si="9"/>
        <v>02406911202</v>
      </c>
      <c r="C633" s="1" t="s">
        <v>13</v>
      </c>
      <c r="D633" s="1" t="s">
        <v>167</v>
      </c>
      <c r="E633" s="1" t="s">
        <v>825</v>
      </c>
      <c r="F633" s="1" t="s">
        <v>151</v>
      </c>
      <c r="G633" s="1" t="str">
        <f>"00452440589"</f>
        <v>00452440589</v>
      </c>
      <c r="I633" s="1" t="s">
        <v>360</v>
      </c>
      <c r="L633" s="1" t="s">
        <v>43</v>
      </c>
      <c r="M633" s="1">
        <v>85490</v>
      </c>
      <c r="AG633" s="1">
        <v>0</v>
      </c>
      <c r="AH633" s="2">
        <v>45170</v>
      </c>
      <c r="AI633" s="2">
        <v>45291</v>
      </c>
      <c r="AJ633" s="2">
        <v>45170</v>
      </c>
    </row>
    <row r="634" spans="1:36">
      <c r="A634" s="1" t="str">
        <f>"A0075A3481"</f>
        <v>A0075A3481</v>
      </c>
      <c r="B634" s="1" t="str">
        <f t="shared" si="9"/>
        <v>02406911202</v>
      </c>
      <c r="C634" s="1" t="s">
        <v>13</v>
      </c>
      <c r="D634" s="1" t="s">
        <v>167</v>
      </c>
      <c r="E634" s="1" t="s">
        <v>825</v>
      </c>
      <c r="F634" s="1" t="s">
        <v>151</v>
      </c>
      <c r="G634" s="1" t="str">
        <f>"00856750153"</f>
        <v>00856750153</v>
      </c>
      <c r="I634" s="1" t="s">
        <v>299</v>
      </c>
      <c r="L634" s="1" t="s">
        <v>43</v>
      </c>
      <c r="M634" s="1">
        <v>85490</v>
      </c>
      <c r="AG634" s="1">
        <v>0</v>
      </c>
      <c r="AH634" s="2">
        <v>45170</v>
      </c>
      <c r="AI634" s="2">
        <v>45291</v>
      </c>
      <c r="AJ634" s="2">
        <v>45170</v>
      </c>
    </row>
    <row r="635" spans="1:36">
      <c r="A635" s="1" t="str">
        <f>"Z2B3C5AD41"</f>
        <v>Z2B3C5AD41</v>
      </c>
      <c r="B635" s="1" t="str">
        <f t="shared" si="9"/>
        <v>02406911202</v>
      </c>
      <c r="C635" s="1" t="s">
        <v>13</v>
      </c>
      <c r="D635" s="1" t="s">
        <v>186</v>
      </c>
      <c r="E635" s="1" t="s">
        <v>826</v>
      </c>
      <c r="F635" s="1" t="s">
        <v>158</v>
      </c>
      <c r="G635" s="1" t="str">
        <f>"01067490050"</f>
        <v>01067490050</v>
      </c>
      <c r="I635" s="1" t="s">
        <v>211</v>
      </c>
      <c r="L635" s="1" t="s">
        <v>43</v>
      </c>
      <c r="M635" s="1">
        <v>4999</v>
      </c>
      <c r="AG635" s="1">
        <v>4093.47</v>
      </c>
      <c r="AH635" s="2">
        <v>45174</v>
      </c>
      <c r="AI635" s="2">
        <v>46022</v>
      </c>
      <c r="AJ635" s="2">
        <v>45174</v>
      </c>
    </row>
    <row r="636" spans="1:36">
      <c r="A636" s="1" t="str">
        <f>"ZAA3C25924"</f>
        <v>ZAA3C25924</v>
      </c>
      <c r="B636" s="1" t="str">
        <f t="shared" si="9"/>
        <v>02406911202</v>
      </c>
      <c r="C636" s="1" t="s">
        <v>13</v>
      </c>
      <c r="D636" s="1" t="s">
        <v>180</v>
      </c>
      <c r="E636" s="1" t="s">
        <v>296</v>
      </c>
      <c r="F636" s="1" t="s">
        <v>158</v>
      </c>
      <c r="G636" s="1" t="str">
        <f>"11575580151"</f>
        <v>11575580151</v>
      </c>
      <c r="I636" s="1" t="s">
        <v>127</v>
      </c>
      <c r="L636" s="1" t="s">
        <v>43</v>
      </c>
      <c r="M636" s="1">
        <v>5000</v>
      </c>
      <c r="AG636" s="1">
        <v>5400</v>
      </c>
      <c r="AH636" s="2">
        <v>45145</v>
      </c>
      <c r="AI636" s="2">
        <v>45291</v>
      </c>
      <c r="AJ636" s="2">
        <v>45145</v>
      </c>
    </row>
    <row r="637" spans="1:36">
      <c r="A637" s="1" t="str">
        <f>"ZE03C26D94"</f>
        <v>ZE03C26D94</v>
      </c>
      <c r="B637" s="1" t="str">
        <f t="shared" si="9"/>
        <v>02406911202</v>
      </c>
      <c r="C637" s="1" t="s">
        <v>13</v>
      </c>
      <c r="D637" s="1" t="s">
        <v>177</v>
      </c>
      <c r="E637" s="1" t="s">
        <v>827</v>
      </c>
      <c r="F637" s="1" t="s">
        <v>158</v>
      </c>
      <c r="G637" s="1" t="str">
        <f>"80007750377"</f>
        <v>80007750377</v>
      </c>
      <c r="I637" s="1" t="s">
        <v>318</v>
      </c>
      <c r="L637" s="1" t="s">
        <v>43</v>
      </c>
      <c r="M637" s="1">
        <v>1078000</v>
      </c>
      <c r="AG637" s="1">
        <v>165035.01999999999</v>
      </c>
      <c r="AH637" s="2">
        <v>45108</v>
      </c>
      <c r="AI637" s="2">
        <v>45473</v>
      </c>
      <c r="AJ637" s="2">
        <v>45108</v>
      </c>
    </row>
    <row r="638" spans="1:36">
      <c r="A638" s="1" t="str">
        <f>"Z9B3C2708D"</f>
        <v>Z9B3C2708D</v>
      </c>
      <c r="B638" s="1" t="str">
        <f t="shared" si="9"/>
        <v>02406911202</v>
      </c>
      <c r="C638" s="1" t="s">
        <v>13</v>
      </c>
      <c r="D638" s="1" t="s">
        <v>180</v>
      </c>
      <c r="E638" s="1" t="s">
        <v>279</v>
      </c>
      <c r="F638" s="1" t="s">
        <v>158</v>
      </c>
      <c r="G638" s="1" t="str">
        <f>"01221570375"</f>
        <v>01221570375</v>
      </c>
      <c r="I638" s="1" t="s">
        <v>828</v>
      </c>
      <c r="L638" s="1" t="s">
        <v>43</v>
      </c>
      <c r="M638" s="1">
        <v>5000</v>
      </c>
      <c r="AG638" s="1">
        <v>2067</v>
      </c>
      <c r="AH638" s="2">
        <v>45146</v>
      </c>
      <c r="AI638" s="2">
        <v>45291</v>
      </c>
      <c r="AJ638" s="2">
        <v>45146</v>
      </c>
    </row>
    <row r="639" spans="1:36">
      <c r="A639" s="1" t="str">
        <f>"ZE13C2D7BD"</f>
        <v>ZE13C2D7BD</v>
      </c>
      <c r="B639" s="1" t="str">
        <f t="shared" si="9"/>
        <v>02406911202</v>
      </c>
      <c r="C639" s="1" t="s">
        <v>13</v>
      </c>
      <c r="D639" s="1" t="s">
        <v>177</v>
      </c>
      <c r="E639" s="1" t="s">
        <v>829</v>
      </c>
      <c r="F639" s="1" t="s">
        <v>158</v>
      </c>
      <c r="G639" s="1" t="str">
        <f>"02833470301"</f>
        <v>02833470301</v>
      </c>
      <c r="I639" s="1" t="s">
        <v>569</v>
      </c>
      <c r="L639" s="1" t="s">
        <v>43</v>
      </c>
      <c r="M639" s="1">
        <v>68000</v>
      </c>
      <c r="AG639" s="1">
        <v>9390.92</v>
      </c>
      <c r="AH639" s="2">
        <v>45108</v>
      </c>
      <c r="AI639" s="2">
        <v>45657</v>
      </c>
      <c r="AJ639" s="2">
        <v>45108</v>
      </c>
    </row>
    <row r="640" spans="1:36">
      <c r="A640" s="1" t="str">
        <f>"Z223C2D934"</f>
        <v>Z223C2D934</v>
      </c>
      <c r="B640" s="1" t="str">
        <f t="shared" si="9"/>
        <v>02406911202</v>
      </c>
      <c r="C640" s="1" t="s">
        <v>13</v>
      </c>
      <c r="D640" s="1" t="s">
        <v>177</v>
      </c>
      <c r="E640" s="1" t="s">
        <v>830</v>
      </c>
      <c r="F640" s="1" t="s">
        <v>158</v>
      </c>
      <c r="G640" s="1" t="str">
        <f>"02226930374"</f>
        <v>02226930374</v>
      </c>
      <c r="I640" s="1" t="s">
        <v>831</v>
      </c>
      <c r="L640" s="1" t="s">
        <v>43</v>
      </c>
      <c r="M640" s="1">
        <v>380000</v>
      </c>
      <c r="AG640" s="1">
        <v>59856.69</v>
      </c>
      <c r="AH640" s="2">
        <v>45108</v>
      </c>
      <c r="AI640" s="2">
        <v>45657</v>
      </c>
      <c r="AJ640" s="2">
        <v>45108</v>
      </c>
    </row>
    <row r="641" spans="1:36">
      <c r="A641" s="1" t="str">
        <f>"ZE83C13406"</f>
        <v>ZE83C13406</v>
      </c>
      <c r="B641" s="1" t="str">
        <f t="shared" si="9"/>
        <v>02406911202</v>
      </c>
      <c r="C641" s="1" t="s">
        <v>13</v>
      </c>
      <c r="D641" s="1" t="s">
        <v>186</v>
      </c>
      <c r="E641" s="1" t="s">
        <v>832</v>
      </c>
      <c r="F641" s="1" t="s">
        <v>158</v>
      </c>
      <c r="G641" s="1" t="str">
        <f>"01900221209"</f>
        <v>01900221209</v>
      </c>
      <c r="I641" s="1" t="s">
        <v>392</v>
      </c>
      <c r="L641" s="1" t="s">
        <v>43</v>
      </c>
      <c r="M641" s="1">
        <v>37483.5</v>
      </c>
      <c r="AG641" s="1">
        <v>3360.5</v>
      </c>
      <c r="AH641" s="2">
        <v>45149</v>
      </c>
      <c r="AI641" s="2">
        <v>45535</v>
      </c>
      <c r="AJ641" s="2">
        <v>45149</v>
      </c>
    </row>
    <row r="642" spans="1:36">
      <c r="A642" s="1" t="str">
        <f>"Z3F3C321BB"</f>
        <v>Z3F3C321BB</v>
      </c>
      <c r="B642" s="1" t="str">
        <f t="shared" ref="B642:B705" si="10">"02406911202"</f>
        <v>02406911202</v>
      </c>
      <c r="C642" s="1" t="s">
        <v>13</v>
      </c>
      <c r="D642" s="1" t="s">
        <v>180</v>
      </c>
      <c r="E642" s="1" t="s">
        <v>281</v>
      </c>
      <c r="F642" s="1" t="s">
        <v>158</v>
      </c>
      <c r="G642" s="1" t="str">
        <f>"09270550016"</f>
        <v>09270550016</v>
      </c>
      <c r="I642" s="1" t="s">
        <v>406</v>
      </c>
      <c r="L642" s="1" t="s">
        <v>43</v>
      </c>
      <c r="M642" s="1">
        <v>6000</v>
      </c>
      <c r="AG642" s="1">
        <v>6777</v>
      </c>
      <c r="AH642" s="2">
        <v>45152</v>
      </c>
      <c r="AI642" s="2">
        <v>45291</v>
      </c>
      <c r="AJ642" s="2">
        <v>45152</v>
      </c>
    </row>
    <row r="643" spans="1:36">
      <c r="A643" s="1" t="str">
        <f>"Z803C3219A"</f>
        <v>Z803C3219A</v>
      </c>
      <c r="B643" s="1" t="str">
        <f t="shared" si="10"/>
        <v>02406911202</v>
      </c>
      <c r="C643" s="1" t="s">
        <v>13</v>
      </c>
      <c r="D643" s="1" t="s">
        <v>180</v>
      </c>
      <c r="E643" s="1" t="s">
        <v>281</v>
      </c>
      <c r="F643" s="1" t="s">
        <v>158</v>
      </c>
      <c r="G643" s="1" t="str">
        <f>"07747160153"</f>
        <v>07747160153</v>
      </c>
      <c r="I643" s="1" t="s">
        <v>446</v>
      </c>
      <c r="L643" s="1" t="s">
        <v>43</v>
      </c>
      <c r="M643" s="1">
        <v>6000</v>
      </c>
      <c r="AG643" s="1">
        <v>6195</v>
      </c>
      <c r="AH643" s="2">
        <v>45152</v>
      </c>
      <c r="AI643" s="2">
        <v>45291</v>
      </c>
      <c r="AJ643" s="2">
        <v>45152</v>
      </c>
    </row>
    <row r="644" spans="1:36">
      <c r="A644" s="1" t="str">
        <f>"ZA23BD080E"</f>
        <v>ZA23BD080E</v>
      </c>
      <c r="B644" s="1" t="str">
        <f t="shared" si="10"/>
        <v>02406911202</v>
      </c>
      <c r="C644" s="1" t="s">
        <v>13</v>
      </c>
      <c r="D644" s="1" t="s">
        <v>180</v>
      </c>
      <c r="E644" s="1" t="s">
        <v>220</v>
      </c>
      <c r="F644" s="1" t="s">
        <v>158</v>
      </c>
      <c r="G644" s="1" t="str">
        <f>"04384410017"</f>
        <v>04384410017</v>
      </c>
      <c r="I644" s="1" t="s">
        <v>833</v>
      </c>
      <c r="L644" s="1" t="s">
        <v>43</v>
      </c>
      <c r="M644" s="1">
        <v>6000</v>
      </c>
      <c r="AG644" s="1">
        <v>6672.6</v>
      </c>
      <c r="AH644" s="2">
        <v>45117</v>
      </c>
      <c r="AI644" s="2">
        <v>45291</v>
      </c>
      <c r="AJ644" s="2">
        <v>45117</v>
      </c>
    </row>
    <row r="645" spans="1:36">
      <c r="A645" s="1" t="str">
        <f>"Z743BDFE80"</f>
        <v>Z743BDFE80</v>
      </c>
      <c r="B645" s="1" t="str">
        <f t="shared" si="10"/>
        <v>02406911202</v>
      </c>
      <c r="C645" s="1" t="s">
        <v>13</v>
      </c>
      <c r="D645" s="1" t="s">
        <v>186</v>
      </c>
      <c r="E645" s="1" t="s">
        <v>834</v>
      </c>
      <c r="F645" s="1" t="s">
        <v>158</v>
      </c>
      <c r="G645" s="1" t="str">
        <f>"02803471206"</f>
        <v>02803471206</v>
      </c>
      <c r="I645" s="1" t="s">
        <v>835</v>
      </c>
      <c r="L645" s="1" t="s">
        <v>43</v>
      </c>
      <c r="M645" s="1">
        <v>4999</v>
      </c>
      <c r="AG645" s="1">
        <v>688.5</v>
      </c>
      <c r="AH645" s="2">
        <v>45120</v>
      </c>
      <c r="AI645" s="2">
        <v>45486</v>
      </c>
      <c r="AJ645" s="2">
        <v>45120</v>
      </c>
    </row>
    <row r="646" spans="1:36">
      <c r="A646" s="1" t="str">
        <f>"Z233BDC55F"</f>
        <v>Z233BDC55F</v>
      </c>
      <c r="B646" s="1" t="str">
        <f t="shared" si="10"/>
        <v>02406911202</v>
      </c>
      <c r="C646" s="1" t="s">
        <v>13</v>
      </c>
      <c r="D646" s="1" t="s">
        <v>180</v>
      </c>
      <c r="E646" s="1" t="s">
        <v>244</v>
      </c>
      <c r="F646" s="1" t="s">
        <v>158</v>
      </c>
      <c r="G646" s="1" t="str">
        <f>"11575580151"</f>
        <v>11575580151</v>
      </c>
      <c r="I646" s="1" t="s">
        <v>127</v>
      </c>
      <c r="L646" s="1" t="s">
        <v>43</v>
      </c>
      <c r="M646" s="1">
        <v>5000</v>
      </c>
      <c r="AG646" s="1">
        <v>5660.82</v>
      </c>
      <c r="AH646" s="2">
        <v>45120</v>
      </c>
      <c r="AI646" s="2">
        <v>45291</v>
      </c>
      <c r="AJ646" s="2">
        <v>45120</v>
      </c>
    </row>
    <row r="647" spans="1:36">
      <c r="A647" s="1" t="str">
        <f>"Z613BF0CE4"</f>
        <v>Z613BF0CE4</v>
      </c>
      <c r="B647" s="1" t="str">
        <f t="shared" si="10"/>
        <v>02406911202</v>
      </c>
      <c r="C647" s="1" t="s">
        <v>13</v>
      </c>
      <c r="D647" s="1" t="s">
        <v>180</v>
      </c>
      <c r="E647" s="1" t="s">
        <v>279</v>
      </c>
      <c r="F647" s="1" t="s">
        <v>158</v>
      </c>
      <c r="G647" s="1" t="str">
        <f>"05102540019"</f>
        <v>05102540019</v>
      </c>
      <c r="I647" s="1" t="s">
        <v>836</v>
      </c>
      <c r="L647" s="1" t="s">
        <v>43</v>
      </c>
      <c r="M647" s="1">
        <v>5000</v>
      </c>
      <c r="AG647" s="1">
        <v>4772</v>
      </c>
      <c r="AH647" s="2">
        <v>45125</v>
      </c>
      <c r="AI647" s="2">
        <v>45291</v>
      </c>
      <c r="AJ647" s="2">
        <v>45125</v>
      </c>
    </row>
    <row r="648" spans="1:36">
      <c r="A648" s="1" t="str">
        <f>"ZC23BE00E5"</f>
        <v>ZC23BE00E5</v>
      </c>
      <c r="B648" s="1" t="str">
        <f t="shared" si="10"/>
        <v>02406911202</v>
      </c>
      <c r="C648" s="1" t="s">
        <v>13</v>
      </c>
      <c r="D648" s="1" t="s">
        <v>180</v>
      </c>
      <c r="E648" s="1" t="s">
        <v>296</v>
      </c>
      <c r="F648" s="1" t="s">
        <v>158</v>
      </c>
      <c r="G648" s="1" t="str">
        <f>"01282550555"</f>
        <v>01282550555</v>
      </c>
      <c r="I648" s="1" t="s">
        <v>837</v>
      </c>
      <c r="L648" s="1" t="s">
        <v>43</v>
      </c>
      <c r="M648" s="1">
        <v>5000</v>
      </c>
      <c r="AG648" s="1">
        <v>4000</v>
      </c>
      <c r="AH648" s="2">
        <v>45121</v>
      </c>
      <c r="AI648" s="2">
        <v>45291</v>
      </c>
      <c r="AJ648" s="2">
        <v>45121</v>
      </c>
    </row>
    <row r="649" spans="1:36">
      <c r="A649" s="1" t="str">
        <f>"Z4B3C41629"</f>
        <v>Z4B3C41629</v>
      </c>
      <c r="B649" s="1" t="str">
        <f t="shared" si="10"/>
        <v>02406911202</v>
      </c>
      <c r="C649" s="1" t="s">
        <v>13</v>
      </c>
      <c r="D649" s="1" t="s">
        <v>180</v>
      </c>
      <c r="E649" s="1" t="s">
        <v>181</v>
      </c>
      <c r="F649" s="1" t="s">
        <v>158</v>
      </c>
      <c r="G649" s="1" t="str">
        <f>"04918311210"</f>
        <v>04918311210</v>
      </c>
      <c r="I649" s="1" t="s">
        <v>85</v>
      </c>
      <c r="L649" s="1" t="s">
        <v>43</v>
      </c>
      <c r="M649" s="1">
        <v>6000</v>
      </c>
      <c r="AG649" s="1">
        <v>5945.46</v>
      </c>
      <c r="AH649" s="2">
        <v>45163</v>
      </c>
      <c r="AI649" s="2">
        <v>45291</v>
      </c>
      <c r="AJ649" s="2">
        <v>45163</v>
      </c>
    </row>
    <row r="650" spans="1:36">
      <c r="A650" s="1" t="str">
        <f>"ZD83C46F26"</f>
        <v>ZD83C46F26</v>
      </c>
      <c r="B650" s="1" t="str">
        <f t="shared" si="10"/>
        <v>02406911202</v>
      </c>
      <c r="C650" s="1" t="s">
        <v>13</v>
      </c>
      <c r="D650" s="1" t="s">
        <v>180</v>
      </c>
      <c r="E650" s="1" t="s">
        <v>220</v>
      </c>
      <c r="F650" s="1" t="s">
        <v>158</v>
      </c>
      <c r="G650" s="1" t="str">
        <f>"11575580151"</f>
        <v>11575580151</v>
      </c>
      <c r="I650" s="1" t="s">
        <v>127</v>
      </c>
      <c r="L650" s="1" t="s">
        <v>43</v>
      </c>
      <c r="M650" s="1">
        <v>6000</v>
      </c>
      <c r="AG650" s="1">
        <v>5400</v>
      </c>
      <c r="AH650" s="2">
        <v>45167</v>
      </c>
      <c r="AI650" s="2">
        <v>45291</v>
      </c>
      <c r="AJ650" s="2">
        <v>45167</v>
      </c>
    </row>
    <row r="651" spans="1:36">
      <c r="A651" s="1" t="str">
        <f>"Z123C470B0"</f>
        <v>Z123C470B0</v>
      </c>
      <c r="B651" s="1" t="str">
        <f t="shared" si="10"/>
        <v>02406911202</v>
      </c>
      <c r="C651" s="1" t="s">
        <v>13</v>
      </c>
      <c r="D651" s="1" t="s">
        <v>180</v>
      </c>
      <c r="E651" s="1" t="s">
        <v>296</v>
      </c>
      <c r="F651" s="1" t="s">
        <v>158</v>
      </c>
      <c r="G651" s="1" t="str">
        <f>"11575580151"</f>
        <v>11575580151</v>
      </c>
      <c r="I651" s="1" t="s">
        <v>127</v>
      </c>
      <c r="L651" s="1" t="s">
        <v>43</v>
      </c>
      <c r="M651" s="1">
        <v>6000</v>
      </c>
      <c r="AG651" s="1">
        <v>5625</v>
      </c>
      <c r="AH651" s="2">
        <v>45167</v>
      </c>
      <c r="AI651" s="2">
        <v>45657</v>
      </c>
      <c r="AJ651" s="2">
        <v>45167</v>
      </c>
    </row>
    <row r="652" spans="1:36">
      <c r="A652" s="1" t="str">
        <f>"Z163C470C9"</f>
        <v>Z163C470C9</v>
      </c>
      <c r="B652" s="1" t="str">
        <f t="shared" si="10"/>
        <v>02406911202</v>
      </c>
      <c r="C652" s="1" t="s">
        <v>13</v>
      </c>
      <c r="D652" s="1" t="s">
        <v>180</v>
      </c>
      <c r="E652" s="1" t="s">
        <v>296</v>
      </c>
      <c r="F652" s="1" t="s">
        <v>158</v>
      </c>
      <c r="G652" s="1" t="str">
        <f>"11575580151"</f>
        <v>11575580151</v>
      </c>
      <c r="I652" s="1" t="s">
        <v>127</v>
      </c>
      <c r="L652" s="1" t="s">
        <v>43</v>
      </c>
      <c r="M652" s="1">
        <v>6000</v>
      </c>
      <c r="AG652" s="1">
        <v>6704.5</v>
      </c>
      <c r="AH652" s="2">
        <v>45167</v>
      </c>
      <c r="AI652" s="2">
        <v>45291</v>
      </c>
      <c r="AJ652" s="2">
        <v>45167</v>
      </c>
    </row>
    <row r="653" spans="1:36">
      <c r="A653" s="1" t="str">
        <f>"Z4C3C0A7EE"</f>
        <v>Z4C3C0A7EE</v>
      </c>
      <c r="B653" s="1" t="str">
        <f t="shared" si="10"/>
        <v>02406911202</v>
      </c>
      <c r="C653" s="1" t="s">
        <v>13</v>
      </c>
      <c r="D653" s="1" t="s">
        <v>164</v>
      </c>
      <c r="E653" s="1" t="s">
        <v>838</v>
      </c>
      <c r="F653" s="1" t="s">
        <v>39</v>
      </c>
      <c r="G653" s="1" t="str">
        <f>"02138390360"</f>
        <v>02138390360</v>
      </c>
      <c r="I653" s="1" t="s">
        <v>839</v>
      </c>
      <c r="L653" s="1" t="s">
        <v>43</v>
      </c>
      <c r="M653" s="1">
        <v>9479</v>
      </c>
      <c r="AG653" s="1">
        <v>9479</v>
      </c>
      <c r="AH653" s="2">
        <v>45134</v>
      </c>
      <c r="AI653" s="2">
        <v>45291</v>
      </c>
      <c r="AJ653" s="2">
        <v>45134</v>
      </c>
    </row>
    <row r="654" spans="1:36">
      <c r="A654" s="1" t="str">
        <f>"Z4C3C0A7EE"</f>
        <v>Z4C3C0A7EE</v>
      </c>
      <c r="B654" s="1" t="str">
        <f t="shared" si="10"/>
        <v>02406911202</v>
      </c>
      <c r="C654" s="1" t="s">
        <v>13</v>
      </c>
      <c r="D654" s="1" t="s">
        <v>164</v>
      </c>
      <c r="E654" s="1" t="s">
        <v>838</v>
      </c>
      <c r="F654" s="1" t="s">
        <v>39</v>
      </c>
      <c r="G654" s="1" t="str">
        <f>"03359340837"</f>
        <v>03359340837</v>
      </c>
      <c r="I654" s="1" t="s">
        <v>759</v>
      </c>
      <c r="L654" s="1" t="s">
        <v>100</v>
      </c>
      <c r="AJ654" s="2">
        <v>45134</v>
      </c>
    </row>
    <row r="655" spans="1:36">
      <c r="A655" s="1" t="str">
        <f>"Z4C3C0A7EE"</f>
        <v>Z4C3C0A7EE</v>
      </c>
      <c r="B655" s="1" t="str">
        <f t="shared" si="10"/>
        <v>02406911202</v>
      </c>
      <c r="C655" s="1" t="s">
        <v>13</v>
      </c>
      <c r="D655" s="1" t="s">
        <v>164</v>
      </c>
      <c r="E655" s="1" t="s">
        <v>838</v>
      </c>
      <c r="F655" s="1" t="s">
        <v>39</v>
      </c>
      <c r="G655" s="1" t="str">
        <f>"01486330309"</f>
        <v>01486330309</v>
      </c>
      <c r="I655" s="1" t="s">
        <v>840</v>
      </c>
      <c r="L655" s="1" t="s">
        <v>100</v>
      </c>
      <c r="AJ655" s="2">
        <v>45134</v>
      </c>
    </row>
    <row r="656" spans="1:36">
      <c r="A656" s="1" t="str">
        <f>"Z4C3C0A7EE"</f>
        <v>Z4C3C0A7EE</v>
      </c>
      <c r="B656" s="1" t="str">
        <f t="shared" si="10"/>
        <v>02406911202</v>
      </c>
      <c r="C656" s="1" t="s">
        <v>13</v>
      </c>
      <c r="D656" s="1" t="s">
        <v>164</v>
      </c>
      <c r="E656" s="1" t="s">
        <v>838</v>
      </c>
      <c r="F656" s="1" t="s">
        <v>39</v>
      </c>
      <c r="G656" s="1" t="str">
        <f>"02169281207"</f>
        <v>02169281207</v>
      </c>
      <c r="I656" s="1" t="s">
        <v>464</v>
      </c>
      <c r="L656" s="1" t="s">
        <v>100</v>
      </c>
      <c r="AJ656" s="2">
        <v>45134</v>
      </c>
    </row>
    <row r="657" spans="1:36">
      <c r="A657" s="1" t="str">
        <f>"Z4B3C0A7A9"</f>
        <v>Z4B3C0A7A9</v>
      </c>
      <c r="B657" s="1" t="str">
        <f t="shared" si="10"/>
        <v>02406911202</v>
      </c>
      <c r="C657" s="1" t="s">
        <v>13</v>
      </c>
      <c r="D657" s="1" t="s">
        <v>164</v>
      </c>
      <c r="E657" s="1" t="s">
        <v>841</v>
      </c>
      <c r="F657" s="1" t="s">
        <v>39</v>
      </c>
      <c r="G657" s="1" t="str">
        <f>"02491851206"</f>
        <v>02491851206</v>
      </c>
      <c r="I657" s="1" t="s">
        <v>639</v>
      </c>
      <c r="L657" s="1" t="s">
        <v>43</v>
      </c>
      <c r="M657" s="1">
        <v>4166</v>
      </c>
      <c r="AG657" s="1">
        <v>4166</v>
      </c>
      <c r="AH657" s="2">
        <v>45134</v>
      </c>
      <c r="AI657" s="2">
        <v>45291</v>
      </c>
      <c r="AJ657" s="2">
        <v>45134</v>
      </c>
    </row>
    <row r="658" spans="1:36">
      <c r="A658" s="1" t="str">
        <f>"Z4B3C0A7A9"</f>
        <v>Z4B3C0A7A9</v>
      </c>
      <c r="B658" s="1" t="str">
        <f t="shared" si="10"/>
        <v>02406911202</v>
      </c>
      <c r="C658" s="1" t="s">
        <v>13</v>
      </c>
      <c r="D658" s="1" t="s">
        <v>164</v>
      </c>
      <c r="E658" s="1" t="s">
        <v>841</v>
      </c>
      <c r="F658" s="1" t="s">
        <v>39</v>
      </c>
      <c r="G658" s="1" t="str">
        <f>"02169281207"</f>
        <v>02169281207</v>
      </c>
      <c r="I658" s="1" t="s">
        <v>464</v>
      </c>
      <c r="L658" s="1" t="s">
        <v>100</v>
      </c>
      <c r="AJ658" s="2">
        <v>45134</v>
      </c>
    </row>
    <row r="659" spans="1:36">
      <c r="A659" s="1" t="str">
        <f>"ZDB3C48296"</f>
        <v>ZDB3C48296</v>
      </c>
      <c r="B659" s="1" t="str">
        <f t="shared" si="10"/>
        <v>02406911202</v>
      </c>
      <c r="C659" s="1" t="s">
        <v>13</v>
      </c>
      <c r="D659" s="1" t="s">
        <v>167</v>
      </c>
      <c r="E659" s="1" t="s">
        <v>842</v>
      </c>
      <c r="F659" s="1" t="s">
        <v>39</v>
      </c>
      <c r="G659" s="1" t="str">
        <f>"02774840595"</f>
        <v>02774840595</v>
      </c>
      <c r="I659" s="1" t="s">
        <v>97</v>
      </c>
      <c r="L659" s="1" t="s">
        <v>43</v>
      </c>
      <c r="M659" s="1">
        <v>12977.2</v>
      </c>
      <c r="AG659" s="1">
        <v>297.72000000000003</v>
      </c>
      <c r="AH659" s="2">
        <v>45173</v>
      </c>
      <c r="AI659" s="2">
        <v>45565</v>
      </c>
      <c r="AJ659" s="2">
        <v>45173</v>
      </c>
    </row>
    <row r="660" spans="1:36">
      <c r="A660" s="1" t="str">
        <f>"992335104E"</f>
        <v>992335104E</v>
      </c>
      <c r="B660" s="1" t="str">
        <f t="shared" si="10"/>
        <v>02406911202</v>
      </c>
      <c r="C660" s="1" t="s">
        <v>13</v>
      </c>
      <c r="D660" s="1" t="s">
        <v>186</v>
      </c>
      <c r="E660" s="1" t="s">
        <v>843</v>
      </c>
      <c r="F660" s="1" t="s">
        <v>158</v>
      </c>
      <c r="G660" s="1" t="str">
        <f>"09331210154"</f>
        <v>09331210154</v>
      </c>
      <c r="I660" s="1" t="s">
        <v>765</v>
      </c>
      <c r="L660" s="1" t="s">
        <v>43</v>
      </c>
      <c r="M660" s="1">
        <v>16700</v>
      </c>
      <c r="AG660" s="1">
        <v>431.4</v>
      </c>
      <c r="AH660" s="2">
        <v>45114</v>
      </c>
      <c r="AI660" s="2">
        <v>45869</v>
      </c>
      <c r="AJ660" s="2">
        <v>45114</v>
      </c>
    </row>
    <row r="661" spans="1:36">
      <c r="A661" s="1" t="str">
        <f>"9892478B16"</f>
        <v>9892478B16</v>
      </c>
      <c r="B661" s="1" t="str">
        <f t="shared" si="10"/>
        <v>02406911202</v>
      </c>
      <c r="C661" s="1" t="s">
        <v>13</v>
      </c>
      <c r="D661" s="1" t="s">
        <v>167</v>
      </c>
      <c r="E661" s="1" t="s">
        <v>844</v>
      </c>
      <c r="F661" s="1" t="s">
        <v>39</v>
      </c>
      <c r="G661" s="1" t="str">
        <f>"02148950344"</f>
        <v>02148950344</v>
      </c>
      <c r="I661" s="1" t="s">
        <v>845</v>
      </c>
      <c r="L661" s="1" t="s">
        <v>43</v>
      </c>
      <c r="M661" s="1">
        <v>18460</v>
      </c>
      <c r="AG661" s="1">
        <v>3246.84</v>
      </c>
      <c r="AH661" s="2">
        <v>45120</v>
      </c>
      <c r="AI661" s="2">
        <v>45291</v>
      </c>
      <c r="AJ661" s="2">
        <v>45120</v>
      </c>
    </row>
    <row r="662" spans="1:36">
      <c r="A662" s="1" t="str">
        <f>"Z353C0CED5"</f>
        <v>Z353C0CED5</v>
      </c>
      <c r="B662" s="1" t="str">
        <f t="shared" si="10"/>
        <v>02406911202</v>
      </c>
      <c r="C662" s="1" t="s">
        <v>13</v>
      </c>
      <c r="D662" s="1" t="s">
        <v>180</v>
      </c>
      <c r="E662" s="1" t="s">
        <v>220</v>
      </c>
      <c r="F662" s="1" t="s">
        <v>158</v>
      </c>
      <c r="G662" s="1" t="str">
        <f>"11206730159"</f>
        <v>11206730159</v>
      </c>
      <c r="I662" s="1" t="s">
        <v>68</v>
      </c>
      <c r="L662" s="1" t="s">
        <v>43</v>
      </c>
      <c r="M662" s="1">
        <v>6000</v>
      </c>
      <c r="AG662" s="1">
        <v>4965</v>
      </c>
      <c r="AH662" s="2">
        <v>45135</v>
      </c>
      <c r="AI662" s="2">
        <v>45291</v>
      </c>
      <c r="AJ662" s="2">
        <v>45135</v>
      </c>
    </row>
    <row r="663" spans="1:36">
      <c r="A663" s="1" t="str">
        <f>"Z753C128A3"</f>
        <v>Z753C128A3</v>
      </c>
      <c r="B663" s="1" t="str">
        <f t="shared" si="10"/>
        <v>02406911202</v>
      </c>
      <c r="C663" s="1" t="s">
        <v>13</v>
      </c>
      <c r="D663" s="1" t="s">
        <v>180</v>
      </c>
      <c r="E663" s="1" t="s">
        <v>279</v>
      </c>
      <c r="F663" s="1" t="s">
        <v>158</v>
      </c>
      <c r="G663" s="1" t="str">
        <f>"02737030151"</f>
        <v>02737030151</v>
      </c>
      <c r="I663" s="1" t="s">
        <v>629</v>
      </c>
      <c r="L663" s="1" t="s">
        <v>43</v>
      </c>
      <c r="M663" s="1">
        <v>5000</v>
      </c>
      <c r="AG663" s="1">
        <v>594</v>
      </c>
      <c r="AH663" s="2">
        <v>45138</v>
      </c>
      <c r="AI663" s="2">
        <v>45657</v>
      </c>
      <c r="AJ663" s="2">
        <v>45138</v>
      </c>
    </row>
    <row r="664" spans="1:36">
      <c r="A664" s="1" t="str">
        <f>"ZA13C126C5"</f>
        <v>ZA13C126C5</v>
      </c>
      <c r="B664" s="1" t="str">
        <f t="shared" si="10"/>
        <v>02406911202</v>
      </c>
      <c r="C664" s="1" t="s">
        <v>13</v>
      </c>
      <c r="D664" s="1" t="s">
        <v>264</v>
      </c>
      <c r="E664" s="1" t="s">
        <v>846</v>
      </c>
      <c r="F664" s="1" t="s">
        <v>158</v>
      </c>
      <c r="G664" s="1" t="str">
        <f>"03798880138"</f>
        <v>03798880138</v>
      </c>
      <c r="I664" s="1" t="s">
        <v>847</v>
      </c>
      <c r="L664" s="1" t="s">
        <v>43</v>
      </c>
      <c r="M664" s="1">
        <v>1000</v>
      </c>
      <c r="AG664" s="1">
        <v>375</v>
      </c>
      <c r="AH664" s="2">
        <v>45138</v>
      </c>
      <c r="AI664" s="2">
        <v>45291</v>
      </c>
      <c r="AJ664" s="2">
        <v>45138</v>
      </c>
    </row>
    <row r="665" spans="1:36">
      <c r="A665" s="1" t="str">
        <f>"9706062FBB"</f>
        <v>9706062FBB</v>
      </c>
      <c r="B665" s="1" t="str">
        <f t="shared" si="10"/>
        <v>02406911202</v>
      </c>
      <c r="C665" s="1" t="s">
        <v>13</v>
      </c>
      <c r="D665" s="1" t="s">
        <v>167</v>
      </c>
      <c r="E665" s="1" t="s">
        <v>848</v>
      </c>
      <c r="F665" s="1" t="s">
        <v>39</v>
      </c>
      <c r="G665" s="1" t="str">
        <f>"10598330156"</f>
        <v>10598330156</v>
      </c>
      <c r="I665" s="1" t="s">
        <v>849</v>
      </c>
      <c r="L665" s="1" t="s">
        <v>43</v>
      </c>
      <c r="M665" s="1">
        <v>35400</v>
      </c>
      <c r="AG665" s="1">
        <v>0</v>
      </c>
      <c r="AH665" s="2">
        <v>45170</v>
      </c>
      <c r="AI665" s="2">
        <v>45900</v>
      </c>
      <c r="AJ665" s="2">
        <v>45170</v>
      </c>
    </row>
    <row r="666" spans="1:36">
      <c r="A666" s="1" t="str">
        <f>"9975906A0D"</f>
        <v>9975906A0D</v>
      </c>
      <c r="B666" s="1" t="str">
        <f t="shared" si="10"/>
        <v>02406911202</v>
      </c>
      <c r="C666" s="1" t="s">
        <v>13</v>
      </c>
      <c r="D666" s="1" t="s">
        <v>167</v>
      </c>
      <c r="E666" s="1" t="s">
        <v>850</v>
      </c>
      <c r="F666" s="1" t="s">
        <v>39</v>
      </c>
      <c r="G666" s="1" t="str">
        <f>"00742090152"</f>
        <v>00742090152</v>
      </c>
      <c r="I666" s="1" t="s">
        <v>851</v>
      </c>
      <c r="L666" s="1" t="s">
        <v>43</v>
      </c>
      <c r="M666" s="1">
        <v>957600</v>
      </c>
      <c r="AG666" s="1">
        <v>336000</v>
      </c>
      <c r="AH666" s="2">
        <v>45139</v>
      </c>
      <c r="AI666" s="2">
        <v>45322</v>
      </c>
      <c r="AJ666" s="2">
        <v>45139</v>
      </c>
    </row>
    <row r="667" spans="1:36">
      <c r="A667" s="1" t="str">
        <f>"9908664833"</f>
        <v>9908664833</v>
      </c>
      <c r="B667" s="1" t="str">
        <f t="shared" si="10"/>
        <v>02406911202</v>
      </c>
      <c r="C667" s="1" t="s">
        <v>13</v>
      </c>
      <c r="D667" s="1" t="s">
        <v>180</v>
      </c>
      <c r="E667" s="1" t="s">
        <v>281</v>
      </c>
      <c r="F667" s="1" t="s">
        <v>158</v>
      </c>
      <c r="G667" s="1" t="str">
        <f>"08976680150"</f>
        <v>08976680150</v>
      </c>
      <c r="I667" s="1" t="s">
        <v>852</v>
      </c>
      <c r="L667" s="1" t="s">
        <v>43</v>
      </c>
      <c r="M667" s="1">
        <v>47998.8</v>
      </c>
      <c r="AG667" s="1">
        <v>27259.38</v>
      </c>
      <c r="AH667" s="2">
        <v>45114</v>
      </c>
      <c r="AI667" s="2">
        <v>45657</v>
      </c>
      <c r="AJ667" s="2">
        <v>45114</v>
      </c>
    </row>
    <row r="668" spans="1:36">
      <c r="A668" s="1" t="str">
        <f>"9908670D25"</f>
        <v>9908670D25</v>
      </c>
      <c r="B668" s="1" t="str">
        <f t="shared" si="10"/>
        <v>02406911202</v>
      </c>
      <c r="C668" s="1" t="s">
        <v>13</v>
      </c>
      <c r="D668" s="1" t="s">
        <v>180</v>
      </c>
      <c r="E668" s="1" t="s">
        <v>281</v>
      </c>
      <c r="F668" s="1" t="s">
        <v>158</v>
      </c>
      <c r="G668" s="1" t="str">
        <f>"08976680150"</f>
        <v>08976680150</v>
      </c>
      <c r="I668" s="1" t="s">
        <v>852</v>
      </c>
      <c r="L668" s="1" t="s">
        <v>43</v>
      </c>
      <c r="M668" s="1">
        <v>39999</v>
      </c>
      <c r="AG668" s="1">
        <v>9869.8799999999992</v>
      </c>
      <c r="AH668" s="2">
        <v>45114</v>
      </c>
      <c r="AI668" s="2">
        <v>45291</v>
      </c>
      <c r="AJ668" s="2">
        <v>45114</v>
      </c>
    </row>
    <row r="669" spans="1:36">
      <c r="A669" s="1" t="str">
        <f>"9958055EEF"</f>
        <v>9958055EEF</v>
      </c>
      <c r="B669" s="1" t="str">
        <f t="shared" si="10"/>
        <v>02406911202</v>
      </c>
      <c r="C669" s="1" t="s">
        <v>13</v>
      </c>
      <c r="D669" s="1" t="s">
        <v>167</v>
      </c>
      <c r="E669" s="1" t="s">
        <v>853</v>
      </c>
      <c r="F669" s="1" t="s">
        <v>151</v>
      </c>
      <c r="G669" s="1" t="str">
        <f>"00212840235"</f>
        <v>00212840235</v>
      </c>
      <c r="I669" s="1" t="s">
        <v>854</v>
      </c>
      <c r="L669" s="1" t="s">
        <v>43</v>
      </c>
      <c r="M669" s="1">
        <v>363951</v>
      </c>
      <c r="AG669" s="1">
        <v>235161</v>
      </c>
      <c r="AH669" s="2">
        <v>45120</v>
      </c>
      <c r="AI669" s="2">
        <v>45478</v>
      </c>
      <c r="AJ669" s="2">
        <v>45120</v>
      </c>
    </row>
    <row r="670" spans="1:36">
      <c r="A670" s="1" t="str">
        <f>"ZAA3C37C57"</f>
        <v>ZAA3C37C57</v>
      </c>
      <c r="B670" s="1" t="str">
        <f t="shared" si="10"/>
        <v>02406911202</v>
      </c>
      <c r="C670" s="1" t="s">
        <v>13</v>
      </c>
      <c r="D670" s="1" t="s">
        <v>186</v>
      </c>
      <c r="E670" s="1" t="s">
        <v>855</v>
      </c>
      <c r="F670" s="1" t="s">
        <v>158</v>
      </c>
      <c r="G670" s="1" t="str">
        <f>"02895130363"</f>
        <v>02895130363</v>
      </c>
      <c r="I670" s="1" t="s">
        <v>594</v>
      </c>
      <c r="L670" s="1" t="s">
        <v>43</v>
      </c>
      <c r="M670" s="1">
        <v>957</v>
      </c>
      <c r="AG670" s="1">
        <v>0</v>
      </c>
      <c r="AH670" s="2">
        <v>45159</v>
      </c>
      <c r="AI670" s="2">
        <v>45291</v>
      </c>
      <c r="AJ670" s="2">
        <v>45159</v>
      </c>
    </row>
    <row r="671" spans="1:36">
      <c r="A671" s="1" t="str">
        <f>"Z623C3E960"</f>
        <v>Z623C3E960</v>
      </c>
      <c r="B671" s="1" t="str">
        <f t="shared" si="10"/>
        <v>02406911202</v>
      </c>
      <c r="C671" s="1" t="s">
        <v>13</v>
      </c>
      <c r="D671" s="1" t="s">
        <v>180</v>
      </c>
      <c r="E671" s="1" t="s">
        <v>181</v>
      </c>
      <c r="F671" s="1" t="s">
        <v>158</v>
      </c>
      <c r="G671" s="1" t="str">
        <f>"11654150157"</f>
        <v>11654150157</v>
      </c>
      <c r="I671" s="1" t="s">
        <v>263</v>
      </c>
      <c r="L671" s="1" t="s">
        <v>43</v>
      </c>
      <c r="M671" s="1">
        <v>5000</v>
      </c>
      <c r="AG671" s="1">
        <v>5600</v>
      </c>
      <c r="AH671" s="2">
        <v>45162</v>
      </c>
      <c r="AI671" s="2">
        <v>45291</v>
      </c>
      <c r="AJ671" s="2">
        <v>45162</v>
      </c>
    </row>
    <row r="672" spans="1:36">
      <c r="A672" s="1" t="str">
        <f>"Z343C4BE7C"</f>
        <v>Z343C4BE7C</v>
      </c>
      <c r="B672" s="1" t="str">
        <f t="shared" si="10"/>
        <v>02406911202</v>
      </c>
      <c r="C672" s="1" t="s">
        <v>13</v>
      </c>
      <c r="D672" s="1" t="s">
        <v>180</v>
      </c>
      <c r="E672" s="1" t="s">
        <v>279</v>
      </c>
      <c r="F672" s="1" t="s">
        <v>158</v>
      </c>
      <c r="G672" s="1" t="str">
        <f>"12792100153"</f>
        <v>12792100153</v>
      </c>
      <c r="I672" s="1" t="s">
        <v>58</v>
      </c>
      <c r="L672" s="1" t="s">
        <v>43</v>
      </c>
      <c r="M672" s="1">
        <v>5000</v>
      </c>
      <c r="AG672" s="1">
        <v>3676.6</v>
      </c>
      <c r="AH672" s="2">
        <v>45168</v>
      </c>
      <c r="AI672" s="2">
        <v>45291</v>
      </c>
      <c r="AJ672" s="2">
        <v>45168</v>
      </c>
    </row>
    <row r="673" spans="1:36">
      <c r="A673" s="1" t="str">
        <f>"Z8F3C257BF"</f>
        <v>Z8F3C257BF</v>
      </c>
      <c r="B673" s="1" t="str">
        <f t="shared" si="10"/>
        <v>02406911202</v>
      </c>
      <c r="C673" s="1" t="s">
        <v>13</v>
      </c>
      <c r="D673" s="1" t="s">
        <v>180</v>
      </c>
      <c r="E673" s="1" t="s">
        <v>281</v>
      </c>
      <c r="F673" s="1" t="s">
        <v>158</v>
      </c>
      <c r="G673" s="1" t="str">
        <f>"09270550016"</f>
        <v>09270550016</v>
      </c>
      <c r="I673" s="1" t="s">
        <v>406</v>
      </c>
      <c r="L673" s="1" t="s">
        <v>43</v>
      </c>
      <c r="M673" s="1">
        <v>6000</v>
      </c>
      <c r="AG673" s="1">
        <v>6669.6</v>
      </c>
      <c r="AH673" s="2">
        <v>45145</v>
      </c>
      <c r="AI673" s="2">
        <v>45291</v>
      </c>
      <c r="AJ673" s="2">
        <v>45145</v>
      </c>
    </row>
    <row r="674" spans="1:36">
      <c r="A674" s="1" t="str">
        <f>"Z8B3C251C4"</f>
        <v>Z8B3C251C4</v>
      </c>
      <c r="B674" s="1" t="str">
        <f t="shared" si="10"/>
        <v>02406911202</v>
      </c>
      <c r="C674" s="1" t="s">
        <v>13</v>
      </c>
      <c r="D674" s="1" t="s">
        <v>177</v>
      </c>
      <c r="E674" s="1" t="s">
        <v>856</v>
      </c>
      <c r="F674" s="1" t="s">
        <v>158</v>
      </c>
      <c r="G674" s="1" t="str">
        <f>"00427050232"</f>
        <v>00427050232</v>
      </c>
      <c r="I674" s="1" t="s">
        <v>857</v>
      </c>
      <c r="L674" s="1" t="s">
        <v>43</v>
      </c>
      <c r="M674" s="1">
        <v>52000</v>
      </c>
      <c r="AG674" s="1">
        <v>9694.25</v>
      </c>
      <c r="AH674" s="2">
        <v>45108</v>
      </c>
      <c r="AI674" s="2">
        <v>45657</v>
      </c>
      <c r="AJ674" s="2">
        <v>45108</v>
      </c>
    </row>
    <row r="675" spans="1:36">
      <c r="A675" s="1" t="str">
        <f>"Z453C27EA1"</f>
        <v>Z453C27EA1</v>
      </c>
      <c r="B675" s="1" t="str">
        <f t="shared" si="10"/>
        <v>02406911202</v>
      </c>
      <c r="C675" s="1" t="s">
        <v>13</v>
      </c>
      <c r="D675" s="1" t="s">
        <v>177</v>
      </c>
      <c r="E675" s="1" t="s">
        <v>858</v>
      </c>
      <c r="F675" s="1" t="s">
        <v>158</v>
      </c>
      <c r="G675" s="1" t="str">
        <f>"01491310387"</f>
        <v>01491310387</v>
      </c>
      <c r="I675" s="1" t="s">
        <v>859</v>
      </c>
      <c r="L675" s="1" t="s">
        <v>43</v>
      </c>
      <c r="M675" s="1">
        <v>122400</v>
      </c>
      <c r="AG675" s="1">
        <v>712.68</v>
      </c>
      <c r="AH675" s="2">
        <v>45108</v>
      </c>
      <c r="AI675" s="2">
        <v>45838</v>
      </c>
      <c r="AJ675" s="2">
        <v>45108</v>
      </c>
    </row>
    <row r="676" spans="1:36">
      <c r="A676" s="1" t="str">
        <f>"ZDF3C2B1F1"</f>
        <v>ZDF3C2B1F1</v>
      </c>
      <c r="B676" s="1" t="str">
        <f t="shared" si="10"/>
        <v>02406911202</v>
      </c>
      <c r="C676" s="1" t="s">
        <v>13</v>
      </c>
      <c r="D676" s="1" t="s">
        <v>186</v>
      </c>
      <c r="E676" s="1" t="s">
        <v>860</v>
      </c>
      <c r="F676" s="1" t="s">
        <v>158</v>
      </c>
      <c r="G676" s="1" t="str">
        <f>"03618890101"</f>
        <v>03618890101</v>
      </c>
      <c r="I676" s="1" t="s">
        <v>861</v>
      </c>
      <c r="L676" s="1" t="s">
        <v>43</v>
      </c>
      <c r="M676" s="1">
        <v>4990</v>
      </c>
      <c r="AG676" s="1">
        <v>546.55999999999995</v>
      </c>
      <c r="AH676" s="2">
        <v>45147</v>
      </c>
      <c r="AI676" s="2">
        <v>45657</v>
      </c>
      <c r="AJ676" s="2">
        <v>45147</v>
      </c>
    </row>
    <row r="677" spans="1:36">
      <c r="A677" s="1" t="str">
        <f>"ZAF3C2B7A2"</f>
        <v>ZAF3C2B7A2</v>
      </c>
      <c r="B677" s="1" t="str">
        <f t="shared" si="10"/>
        <v>02406911202</v>
      </c>
      <c r="C677" s="1" t="s">
        <v>13</v>
      </c>
      <c r="D677" s="1" t="s">
        <v>180</v>
      </c>
      <c r="E677" s="1" t="s">
        <v>296</v>
      </c>
      <c r="F677" s="1" t="s">
        <v>158</v>
      </c>
      <c r="G677" s="1" t="str">
        <f>"07179150151"</f>
        <v>07179150151</v>
      </c>
      <c r="I677" s="1" t="s">
        <v>862</v>
      </c>
      <c r="L677" s="1" t="s">
        <v>43</v>
      </c>
      <c r="M677" s="1">
        <v>5000</v>
      </c>
      <c r="AG677" s="1">
        <v>1820</v>
      </c>
      <c r="AH677" s="2">
        <v>45147</v>
      </c>
      <c r="AI677" s="2">
        <v>45291</v>
      </c>
      <c r="AJ677" s="2">
        <v>45147</v>
      </c>
    </row>
    <row r="678" spans="1:36">
      <c r="A678" s="1" t="str">
        <f>"ZD23C2B83E"</f>
        <v>ZD23C2B83E</v>
      </c>
      <c r="B678" s="1" t="str">
        <f t="shared" si="10"/>
        <v>02406911202</v>
      </c>
      <c r="C678" s="1" t="s">
        <v>13</v>
      </c>
      <c r="D678" s="1" t="s">
        <v>180</v>
      </c>
      <c r="E678" s="1" t="s">
        <v>296</v>
      </c>
      <c r="F678" s="1" t="s">
        <v>158</v>
      </c>
      <c r="G678" s="1" t="str">
        <f>"11575580151"</f>
        <v>11575580151</v>
      </c>
      <c r="I678" s="1" t="s">
        <v>127</v>
      </c>
      <c r="L678" s="1" t="s">
        <v>43</v>
      </c>
      <c r="M678" s="1">
        <v>6000</v>
      </c>
      <c r="AG678" s="1">
        <v>5400</v>
      </c>
      <c r="AH678" s="2">
        <v>45147</v>
      </c>
      <c r="AI678" s="2">
        <v>45291</v>
      </c>
      <c r="AJ678" s="2">
        <v>45147</v>
      </c>
    </row>
    <row r="679" spans="1:36">
      <c r="A679" s="1" t="str">
        <f>"Z613C2B929"</f>
        <v>Z613C2B929</v>
      </c>
      <c r="B679" s="1" t="str">
        <f t="shared" si="10"/>
        <v>02406911202</v>
      </c>
      <c r="C679" s="1" t="s">
        <v>13</v>
      </c>
      <c r="D679" s="1" t="s">
        <v>180</v>
      </c>
      <c r="E679" s="1" t="s">
        <v>296</v>
      </c>
      <c r="F679" s="1" t="s">
        <v>158</v>
      </c>
      <c r="G679" s="1" t="str">
        <f>"11575580151"</f>
        <v>11575580151</v>
      </c>
      <c r="I679" s="1" t="s">
        <v>127</v>
      </c>
      <c r="L679" s="1" t="s">
        <v>43</v>
      </c>
      <c r="M679" s="1">
        <v>6000</v>
      </c>
      <c r="AG679" s="1">
        <v>5400</v>
      </c>
      <c r="AH679" s="2">
        <v>45147</v>
      </c>
      <c r="AI679" s="2">
        <v>45291</v>
      </c>
      <c r="AJ679" s="2">
        <v>45147</v>
      </c>
    </row>
    <row r="680" spans="1:36">
      <c r="A680" s="1" t="str">
        <f>"Z9E3C0A876"</f>
        <v>Z9E3C0A876</v>
      </c>
      <c r="B680" s="1" t="str">
        <f t="shared" si="10"/>
        <v>02406911202</v>
      </c>
      <c r="C680" s="1" t="s">
        <v>13</v>
      </c>
      <c r="D680" s="1" t="s">
        <v>186</v>
      </c>
      <c r="E680" s="1" t="s">
        <v>863</v>
      </c>
      <c r="F680" s="1" t="s">
        <v>158</v>
      </c>
      <c r="G680" s="1" t="str">
        <f>"01498810280"</f>
        <v>01498810280</v>
      </c>
      <c r="I680" s="1" t="s">
        <v>752</v>
      </c>
      <c r="L680" s="1" t="s">
        <v>43</v>
      </c>
      <c r="M680" s="1">
        <v>12676</v>
      </c>
      <c r="AG680" s="1">
        <v>7321.05</v>
      </c>
      <c r="AH680" s="2">
        <v>45149</v>
      </c>
      <c r="AI680" s="2">
        <v>45291</v>
      </c>
      <c r="AJ680" s="2">
        <v>45149</v>
      </c>
    </row>
    <row r="681" spans="1:36">
      <c r="A681" s="1" t="str">
        <f>"ZDD3C35DF7"</f>
        <v>ZDD3C35DF7</v>
      </c>
      <c r="B681" s="1" t="str">
        <f t="shared" si="10"/>
        <v>02406911202</v>
      </c>
      <c r="C681" s="1" t="s">
        <v>13</v>
      </c>
      <c r="D681" s="1" t="s">
        <v>180</v>
      </c>
      <c r="E681" s="1" t="s">
        <v>281</v>
      </c>
      <c r="F681" s="1" t="s">
        <v>158</v>
      </c>
      <c r="G681" s="1" t="str">
        <f>"12572900152"</f>
        <v>12572900152</v>
      </c>
      <c r="I681" s="1" t="s">
        <v>335</v>
      </c>
      <c r="L681" s="1" t="s">
        <v>43</v>
      </c>
      <c r="M681" s="1">
        <v>6000</v>
      </c>
      <c r="AG681" s="1">
        <v>7534.76</v>
      </c>
      <c r="AH681" s="2">
        <v>45156</v>
      </c>
      <c r="AI681" s="2">
        <v>45291</v>
      </c>
      <c r="AJ681" s="2">
        <v>45156</v>
      </c>
    </row>
    <row r="682" spans="1:36">
      <c r="A682" s="1" t="str">
        <f>"Z633C3673E"</f>
        <v>Z633C3673E</v>
      </c>
      <c r="B682" s="1" t="str">
        <f t="shared" si="10"/>
        <v>02406911202</v>
      </c>
      <c r="C682" s="1" t="s">
        <v>13</v>
      </c>
      <c r="D682" s="1" t="s">
        <v>186</v>
      </c>
      <c r="E682" s="1" t="s">
        <v>864</v>
      </c>
      <c r="F682" s="1" t="s">
        <v>158</v>
      </c>
      <c r="G682" s="1" t="str">
        <f>"10574970017"</f>
        <v>10574970017</v>
      </c>
      <c r="I682" s="1" t="s">
        <v>782</v>
      </c>
      <c r="L682" s="1" t="s">
        <v>43</v>
      </c>
      <c r="M682" s="1">
        <v>4999</v>
      </c>
      <c r="AG682" s="1">
        <v>4862</v>
      </c>
      <c r="AH682" s="2">
        <v>45156</v>
      </c>
      <c r="AI682" s="2">
        <v>45382</v>
      </c>
      <c r="AJ682" s="2">
        <v>45156</v>
      </c>
    </row>
    <row r="683" spans="1:36">
      <c r="A683" s="1" t="str">
        <f>"ZA03C37F87"</f>
        <v>ZA03C37F87</v>
      </c>
      <c r="B683" s="1" t="str">
        <f t="shared" si="10"/>
        <v>02406911202</v>
      </c>
      <c r="C683" s="1" t="s">
        <v>13</v>
      </c>
      <c r="D683" s="1" t="s">
        <v>264</v>
      </c>
      <c r="E683" s="1" t="s">
        <v>865</v>
      </c>
      <c r="F683" s="1" t="s">
        <v>158</v>
      </c>
      <c r="G683" s="1" t="str">
        <f>"05903120631"</f>
        <v>05903120631</v>
      </c>
      <c r="I683" s="1" t="s">
        <v>866</v>
      </c>
      <c r="L683" s="1" t="s">
        <v>43</v>
      </c>
      <c r="M683" s="1">
        <v>5680</v>
      </c>
      <c r="AG683" s="1">
        <v>0</v>
      </c>
      <c r="AH683" s="2">
        <v>45159</v>
      </c>
      <c r="AI683" s="2">
        <v>45291</v>
      </c>
      <c r="AJ683" s="2">
        <v>45159</v>
      </c>
    </row>
    <row r="684" spans="1:36">
      <c r="A684" s="1" t="str">
        <f>"Z8D3BF44DF"</f>
        <v>Z8D3BF44DF</v>
      </c>
      <c r="B684" s="1" t="str">
        <f t="shared" si="10"/>
        <v>02406911202</v>
      </c>
      <c r="C684" s="1" t="s">
        <v>13</v>
      </c>
      <c r="D684" s="1" t="s">
        <v>164</v>
      </c>
      <c r="E684" s="1" t="s">
        <v>867</v>
      </c>
      <c r="F684" s="1" t="s">
        <v>158</v>
      </c>
      <c r="G684" s="1" t="str">
        <f>"08877930019"</f>
        <v>08877930019</v>
      </c>
      <c r="I684" s="1" t="s">
        <v>868</v>
      </c>
      <c r="L684" s="1" t="s">
        <v>43</v>
      </c>
      <c r="M684" s="1">
        <v>14600</v>
      </c>
      <c r="AG684" s="1">
        <v>0</v>
      </c>
      <c r="AH684" s="2">
        <v>45124</v>
      </c>
      <c r="AI684" s="2">
        <v>45291</v>
      </c>
      <c r="AJ684" s="2">
        <v>45124</v>
      </c>
    </row>
    <row r="685" spans="1:36">
      <c r="A685" s="1" t="str">
        <f>"984809376E"</f>
        <v>984809376E</v>
      </c>
      <c r="B685" s="1" t="str">
        <f t="shared" si="10"/>
        <v>02406911202</v>
      </c>
      <c r="C685" s="1" t="s">
        <v>13</v>
      </c>
      <c r="D685" s="1" t="s">
        <v>167</v>
      </c>
      <c r="E685" s="1" t="s">
        <v>869</v>
      </c>
      <c r="F685" s="1" t="s">
        <v>151</v>
      </c>
      <c r="G685" s="1" t="str">
        <f>"04411460639"</f>
        <v>04411460639</v>
      </c>
      <c r="I685" s="1" t="s">
        <v>870</v>
      </c>
      <c r="L685" s="1" t="s">
        <v>43</v>
      </c>
      <c r="M685" s="1">
        <v>293621.25</v>
      </c>
      <c r="AG685" s="1">
        <v>32004.75</v>
      </c>
      <c r="AH685" s="2">
        <v>45117</v>
      </c>
      <c r="AI685" s="2">
        <v>46212</v>
      </c>
      <c r="AJ685" s="2">
        <v>45117</v>
      </c>
    </row>
    <row r="686" spans="1:36">
      <c r="A686" s="1" t="str">
        <f>"ZE53BD492D"</f>
        <v>ZE53BD492D</v>
      </c>
      <c r="B686" s="1" t="str">
        <f t="shared" si="10"/>
        <v>02406911202</v>
      </c>
      <c r="C686" s="1" t="s">
        <v>13</v>
      </c>
      <c r="D686" s="1" t="s">
        <v>180</v>
      </c>
      <c r="E686" s="1" t="s">
        <v>279</v>
      </c>
      <c r="F686" s="1" t="s">
        <v>158</v>
      </c>
      <c r="G686" s="1" t="str">
        <f>"07877400635"</f>
        <v>07877400635</v>
      </c>
      <c r="I686" s="1" t="s">
        <v>871</v>
      </c>
      <c r="L686" s="1" t="s">
        <v>43</v>
      </c>
      <c r="M686" s="1">
        <v>5000</v>
      </c>
      <c r="AG686" s="1">
        <v>6368.5</v>
      </c>
      <c r="AH686" s="2">
        <v>45114</v>
      </c>
      <c r="AI686" s="2">
        <v>45291</v>
      </c>
      <c r="AJ686" s="2">
        <v>45114</v>
      </c>
    </row>
    <row r="687" spans="1:36">
      <c r="A687" s="1" t="str">
        <f>"Z083BDFFC9"</f>
        <v>Z083BDFFC9</v>
      </c>
      <c r="B687" s="1" t="str">
        <f t="shared" si="10"/>
        <v>02406911202</v>
      </c>
      <c r="C687" s="1" t="s">
        <v>13</v>
      </c>
      <c r="D687" s="1" t="s">
        <v>180</v>
      </c>
      <c r="E687" s="1" t="s">
        <v>220</v>
      </c>
      <c r="F687" s="1" t="s">
        <v>158</v>
      </c>
      <c r="G687" s="1" t="str">
        <f>"02123550200"</f>
        <v>02123550200</v>
      </c>
      <c r="I687" s="1" t="s">
        <v>673</v>
      </c>
      <c r="L687" s="1" t="s">
        <v>43</v>
      </c>
      <c r="M687" s="1">
        <v>6000</v>
      </c>
      <c r="AG687" s="1">
        <v>5959.2</v>
      </c>
      <c r="AH687" s="2">
        <v>45121</v>
      </c>
      <c r="AI687" s="2">
        <v>45291</v>
      </c>
      <c r="AJ687" s="2">
        <v>45121</v>
      </c>
    </row>
    <row r="688" spans="1:36">
      <c r="A688" s="1" t="str">
        <f>"ZF93BF2727"</f>
        <v>ZF93BF2727</v>
      </c>
      <c r="B688" s="1" t="str">
        <f t="shared" si="10"/>
        <v>02406911202</v>
      </c>
      <c r="C688" s="1" t="s">
        <v>13</v>
      </c>
      <c r="D688" s="1" t="s">
        <v>180</v>
      </c>
      <c r="E688" s="1" t="s">
        <v>281</v>
      </c>
      <c r="F688" s="1" t="s">
        <v>158</v>
      </c>
      <c r="G688" s="1" t="str">
        <f>"02417881204"</f>
        <v>02417881204</v>
      </c>
      <c r="I688" s="1" t="s">
        <v>328</v>
      </c>
      <c r="L688" s="1" t="s">
        <v>43</v>
      </c>
      <c r="M688" s="1">
        <v>6000</v>
      </c>
      <c r="AG688" s="1">
        <v>6290</v>
      </c>
      <c r="AH688" s="2">
        <v>45126</v>
      </c>
      <c r="AI688" s="2">
        <v>45291</v>
      </c>
      <c r="AJ688" s="2">
        <v>45126</v>
      </c>
    </row>
    <row r="689" spans="1:36">
      <c r="A689" s="1" t="str">
        <f>"Z643C01477"</f>
        <v>Z643C01477</v>
      </c>
      <c r="B689" s="1" t="str">
        <f t="shared" si="10"/>
        <v>02406911202</v>
      </c>
      <c r="C689" s="1" t="s">
        <v>13</v>
      </c>
      <c r="D689" s="1" t="s">
        <v>180</v>
      </c>
      <c r="E689" s="1" t="s">
        <v>181</v>
      </c>
      <c r="F689" s="1" t="s">
        <v>158</v>
      </c>
      <c r="G689" s="1" t="str">
        <f>"03524050238"</f>
        <v>03524050238</v>
      </c>
      <c r="I689" s="1" t="s">
        <v>171</v>
      </c>
      <c r="L689" s="1" t="s">
        <v>43</v>
      </c>
      <c r="M689" s="1">
        <v>6000</v>
      </c>
      <c r="AG689" s="1">
        <v>5126.5</v>
      </c>
      <c r="AH689" s="2">
        <v>45132</v>
      </c>
      <c r="AI689" s="2">
        <v>45657</v>
      </c>
      <c r="AJ689" s="2">
        <v>45132</v>
      </c>
    </row>
    <row r="690" spans="1:36">
      <c r="A690" s="1" t="str">
        <f>"Z523C2699F"</f>
        <v>Z523C2699F</v>
      </c>
      <c r="B690" s="1" t="str">
        <f t="shared" si="10"/>
        <v>02406911202</v>
      </c>
      <c r="C690" s="1" t="s">
        <v>13</v>
      </c>
      <c r="D690" s="1" t="s">
        <v>186</v>
      </c>
      <c r="E690" s="1" t="s">
        <v>872</v>
      </c>
      <c r="F690" s="1" t="s">
        <v>158</v>
      </c>
      <c r="G690" s="1" t="str">
        <f>"08566910017"</f>
        <v>08566910017</v>
      </c>
      <c r="I690" s="1" t="s">
        <v>873</v>
      </c>
      <c r="L690" s="1" t="s">
        <v>43</v>
      </c>
      <c r="M690" s="1">
        <v>4999</v>
      </c>
      <c r="AG690" s="1">
        <v>600</v>
      </c>
      <c r="AH690" s="2">
        <v>45146</v>
      </c>
      <c r="AI690" s="2">
        <v>46022</v>
      </c>
      <c r="AJ690" s="2">
        <v>45146</v>
      </c>
    </row>
    <row r="691" spans="1:36">
      <c r="A691" s="1" t="str">
        <f>"A0047018F3"</f>
        <v>A0047018F3</v>
      </c>
      <c r="B691" s="1" t="str">
        <f t="shared" si="10"/>
        <v>02406911202</v>
      </c>
      <c r="C691" s="1" t="s">
        <v>13</v>
      </c>
      <c r="D691" s="1" t="s">
        <v>167</v>
      </c>
      <c r="E691" s="1" t="s">
        <v>526</v>
      </c>
      <c r="F691" s="1" t="s">
        <v>151</v>
      </c>
      <c r="G691" s="1" t="str">
        <f>"00874760408"</f>
        <v>00874760408</v>
      </c>
      <c r="I691" s="1" t="s">
        <v>95</v>
      </c>
      <c r="L691" s="1" t="s">
        <v>43</v>
      </c>
      <c r="M691" s="1">
        <v>8196.7199999999993</v>
      </c>
      <c r="AG691" s="1">
        <v>0</v>
      </c>
      <c r="AH691" s="2">
        <v>45154</v>
      </c>
      <c r="AI691" s="2">
        <v>45519</v>
      </c>
      <c r="AJ691" s="2">
        <v>45154</v>
      </c>
    </row>
    <row r="692" spans="1:36">
      <c r="A692" s="1" t="str">
        <f>"A0009E9E68"</f>
        <v>A0009E9E68</v>
      </c>
      <c r="B692" s="1" t="str">
        <f t="shared" si="10"/>
        <v>02406911202</v>
      </c>
      <c r="C692" s="1" t="s">
        <v>13</v>
      </c>
      <c r="D692" s="1" t="s">
        <v>167</v>
      </c>
      <c r="E692" s="1" t="s">
        <v>874</v>
      </c>
      <c r="F692" s="1" t="s">
        <v>151</v>
      </c>
      <c r="G692" s="1" t="str">
        <f>"01991400670"</f>
        <v>01991400670</v>
      </c>
      <c r="I692" s="1" t="s">
        <v>409</v>
      </c>
      <c r="L692" s="1" t="s">
        <v>43</v>
      </c>
      <c r="M692" s="1">
        <v>40091</v>
      </c>
      <c r="AG692" s="1">
        <v>1649.8</v>
      </c>
      <c r="AH692" s="2">
        <v>45160</v>
      </c>
      <c r="AI692" s="2">
        <v>45291</v>
      </c>
      <c r="AJ692" s="2">
        <v>45160</v>
      </c>
    </row>
    <row r="693" spans="1:36">
      <c r="A693" s="1" t="str">
        <f>"98830116AD"</f>
        <v>98830116AD</v>
      </c>
      <c r="B693" s="1" t="str">
        <f t="shared" si="10"/>
        <v>02406911202</v>
      </c>
      <c r="C693" s="1" t="s">
        <v>13</v>
      </c>
      <c r="D693" s="1" t="s">
        <v>167</v>
      </c>
      <c r="E693" s="1" t="s">
        <v>875</v>
      </c>
      <c r="F693" s="1" t="s">
        <v>286</v>
      </c>
      <c r="G693" s="1" t="str">
        <f>"01368670384"</f>
        <v>01368670384</v>
      </c>
      <c r="I693" s="1" t="s">
        <v>214</v>
      </c>
      <c r="L693" s="1" t="s">
        <v>43</v>
      </c>
      <c r="M693" s="1">
        <v>4760</v>
      </c>
      <c r="AG693" s="1">
        <v>1687.5</v>
      </c>
      <c r="AH693" s="2">
        <v>45139</v>
      </c>
      <c r="AI693" s="2">
        <v>45869</v>
      </c>
      <c r="AJ693" s="2">
        <v>45139</v>
      </c>
    </row>
    <row r="694" spans="1:36">
      <c r="A694" s="1" t="str">
        <f>"9883032801"</f>
        <v>9883032801</v>
      </c>
      <c r="B694" s="1" t="str">
        <f t="shared" si="10"/>
        <v>02406911202</v>
      </c>
      <c r="C694" s="1" t="s">
        <v>13</v>
      </c>
      <c r="D694" s="1" t="s">
        <v>167</v>
      </c>
      <c r="E694" s="1" t="s">
        <v>876</v>
      </c>
      <c r="F694" s="1" t="s">
        <v>286</v>
      </c>
      <c r="G694" s="1" t="str">
        <f>"01368670384"</f>
        <v>01368670384</v>
      </c>
      <c r="I694" s="1" t="s">
        <v>214</v>
      </c>
      <c r="L694" s="1" t="s">
        <v>43</v>
      </c>
      <c r="M694" s="1">
        <v>4200</v>
      </c>
      <c r="AG694" s="1">
        <v>378</v>
      </c>
      <c r="AH694" s="2">
        <v>45139</v>
      </c>
      <c r="AI694" s="2">
        <v>45869</v>
      </c>
      <c r="AJ694" s="2">
        <v>45139</v>
      </c>
    </row>
    <row r="695" spans="1:36">
      <c r="A695" s="1" t="str">
        <f>"Z993BDC5CD"</f>
        <v>Z993BDC5CD</v>
      </c>
      <c r="B695" s="1" t="str">
        <f t="shared" si="10"/>
        <v>02406911202</v>
      </c>
      <c r="C695" s="1" t="s">
        <v>13</v>
      </c>
      <c r="D695" s="1" t="s">
        <v>180</v>
      </c>
      <c r="E695" s="1" t="s">
        <v>244</v>
      </c>
      <c r="F695" s="1" t="s">
        <v>158</v>
      </c>
      <c r="G695" s="1" t="str">
        <f>"12693140159"</f>
        <v>12693140159</v>
      </c>
      <c r="I695" s="1" t="s">
        <v>310</v>
      </c>
      <c r="L695" s="1" t="s">
        <v>43</v>
      </c>
      <c r="M695" s="1">
        <v>5000</v>
      </c>
      <c r="AG695" s="1">
        <v>4100</v>
      </c>
      <c r="AH695" s="2">
        <v>45121</v>
      </c>
      <c r="AI695" s="2">
        <v>45291</v>
      </c>
      <c r="AJ695" s="2">
        <v>45121</v>
      </c>
    </row>
    <row r="696" spans="1:36">
      <c r="A696" s="1" t="str">
        <f>"Z5A3BEEBA1"</f>
        <v>Z5A3BEEBA1</v>
      </c>
      <c r="B696" s="1" t="str">
        <f t="shared" si="10"/>
        <v>02406911202</v>
      </c>
      <c r="C696" s="1" t="s">
        <v>13</v>
      </c>
      <c r="D696" s="1" t="s">
        <v>186</v>
      </c>
      <c r="E696" s="1" t="s">
        <v>877</v>
      </c>
      <c r="F696" s="1" t="s">
        <v>158</v>
      </c>
      <c r="G696" s="1" t="str">
        <f>"00314470121"</f>
        <v>00314470121</v>
      </c>
      <c r="I696" s="1" t="s">
        <v>878</v>
      </c>
      <c r="L696" s="1" t="s">
        <v>43</v>
      </c>
      <c r="M696" s="1">
        <v>4999</v>
      </c>
      <c r="AG696" s="1">
        <v>4272</v>
      </c>
      <c r="AH696" s="2">
        <v>45125</v>
      </c>
      <c r="AI696" s="2">
        <v>45657</v>
      </c>
      <c r="AJ696" s="2">
        <v>45125</v>
      </c>
    </row>
    <row r="697" spans="1:36">
      <c r="A697" s="1" t="str">
        <f>"ZE93BF7824"</f>
        <v>ZE93BF7824</v>
      </c>
      <c r="B697" s="1" t="str">
        <f t="shared" si="10"/>
        <v>02406911202</v>
      </c>
      <c r="C697" s="1" t="s">
        <v>13</v>
      </c>
      <c r="D697" s="1" t="s">
        <v>180</v>
      </c>
      <c r="E697" s="1" t="s">
        <v>281</v>
      </c>
      <c r="F697" s="1" t="s">
        <v>158</v>
      </c>
      <c r="G697" s="1" t="str">
        <f>"04289840268"</f>
        <v>04289840268</v>
      </c>
      <c r="I697" s="1" t="s">
        <v>302</v>
      </c>
      <c r="L697" s="1" t="s">
        <v>43</v>
      </c>
      <c r="M697" s="1">
        <v>6000</v>
      </c>
      <c r="AG697" s="1">
        <v>5046.05</v>
      </c>
      <c r="AH697" s="2">
        <v>45127</v>
      </c>
      <c r="AI697" s="2">
        <v>45291</v>
      </c>
      <c r="AJ697" s="2">
        <v>45127</v>
      </c>
    </row>
    <row r="698" spans="1:36">
      <c r="A698" s="1" t="str">
        <f>"99652597DF"</f>
        <v>99652597DF</v>
      </c>
      <c r="B698" s="1" t="str">
        <f t="shared" si="10"/>
        <v>02406911202</v>
      </c>
      <c r="C698" s="1" t="s">
        <v>13</v>
      </c>
      <c r="D698" s="1" t="s">
        <v>167</v>
      </c>
      <c r="E698" s="1" t="s">
        <v>879</v>
      </c>
      <c r="F698" s="1" t="s">
        <v>151</v>
      </c>
      <c r="G698" s="1" t="str">
        <f>"00488410010"</f>
        <v>00488410010</v>
      </c>
      <c r="I698" s="1" t="s">
        <v>207</v>
      </c>
      <c r="L698" s="1" t="s">
        <v>43</v>
      </c>
      <c r="M698" s="1">
        <v>14235</v>
      </c>
      <c r="AG698" s="1">
        <v>0</v>
      </c>
      <c r="AH698" s="2">
        <v>45108</v>
      </c>
      <c r="AI698" s="2">
        <v>46220</v>
      </c>
      <c r="AJ698" s="2">
        <v>45108</v>
      </c>
    </row>
    <row r="699" spans="1:36">
      <c r="A699" s="1" t="str">
        <f>"Z6A3BF84F9"</f>
        <v>Z6A3BF84F9</v>
      </c>
      <c r="B699" s="1" t="str">
        <f t="shared" si="10"/>
        <v>02406911202</v>
      </c>
      <c r="C699" s="1" t="s">
        <v>13</v>
      </c>
      <c r="D699" s="1" t="s">
        <v>180</v>
      </c>
      <c r="E699" s="1" t="s">
        <v>181</v>
      </c>
      <c r="F699" s="1" t="s">
        <v>158</v>
      </c>
      <c r="G699" s="1" t="str">
        <f>"00098610330"</f>
        <v>00098610330</v>
      </c>
      <c r="I699" s="1" t="s">
        <v>880</v>
      </c>
      <c r="L699" s="1" t="s">
        <v>43</v>
      </c>
      <c r="M699" s="1">
        <v>5000</v>
      </c>
      <c r="AG699" s="1">
        <v>676</v>
      </c>
      <c r="AH699" s="2">
        <v>45128</v>
      </c>
      <c r="AI699" s="2">
        <v>45291</v>
      </c>
      <c r="AJ699" s="2">
        <v>45128</v>
      </c>
    </row>
    <row r="700" spans="1:36">
      <c r="A700" s="1" t="str">
        <f>"Z3E3C15F6D"</f>
        <v>Z3E3C15F6D</v>
      </c>
      <c r="B700" s="1" t="str">
        <f t="shared" si="10"/>
        <v>02406911202</v>
      </c>
      <c r="C700" s="1" t="s">
        <v>13</v>
      </c>
      <c r="D700" s="1" t="s">
        <v>177</v>
      </c>
      <c r="E700" s="1" t="s">
        <v>881</v>
      </c>
      <c r="F700" s="1" t="s">
        <v>158</v>
      </c>
      <c r="G700" s="1" t="str">
        <f>"02510950377"</f>
        <v>02510950377</v>
      </c>
      <c r="I700" s="1" t="s">
        <v>537</v>
      </c>
      <c r="L700" s="1" t="s">
        <v>43</v>
      </c>
      <c r="M700" s="1">
        <v>511449</v>
      </c>
      <c r="AG700" s="1">
        <v>80023.23</v>
      </c>
      <c r="AH700" s="2">
        <v>45108</v>
      </c>
      <c r="AI700" s="2">
        <v>45657</v>
      </c>
      <c r="AJ700" s="2">
        <v>45108</v>
      </c>
    </row>
    <row r="701" spans="1:36">
      <c r="A701" s="1" t="str">
        <f>"Z243C16043"</f>
        <v>Z243C16043</v>
      </c>
      <c r="B701" s="1" t="str">
        <f t="shared" si="10"/>
        <v>02406911202</v>
      </c>
      <c r="C701" s="1" t="s">
        <v>13</v>
      </c>
      <c r="D701" s="1" t="s">
        <v>177</v>
      </c>
      <c r="E701" s="1" t="s">
        <v>882</v>
      </c>
      <c r="F701" s="1" t="s">
        <v>158</v>
      </c>
      <c r="G701" s="1" t="str">
        <f>"02510950377"</f>
        <v>02510950377</v>
      </c>
      <c r="I701" s="1" t="s">
        <v>537</v>
      </c>
      <c r="L701" s="1" t="s">
        <v>43</v>
      </c>
      <c r="M701" s="1">
        <v>805359</v>
      </c>
      <c r="AG701" s="1">
        <v>96943.3</v>
      </c>
      <c r="AH701" s="2">
        <v>45108</v>
      </c>
      <c r="AI701" s="2">
        <v>45657</v>
      </c>
      <c r="AJ701" s="2">
        <v>45108</v>
      </c>
    </row>
    <row r="702" spans="1:36">
      <c r="A702" s="1" t="str">
        <f>"Z553C2C0B6"</f>
        <v>Z553C2C0B6</v>
      </c>
      <c r="B702" s="1" t="str">
        <f t="shared" si="10"/>
        <v>02406911202</v>
      </c>
      <c r="C702" s="1" t="s">
        <v>13</v>
      </c>
      <c r="D702" s="1" t="s">
        <v>180</v>
      </c>
      <c r="E702" s="1" t="s">
        <v>281</v>
      </c>
      <c r="F702" s="1" t="s">
        <v>158</v>
      </c>
      <c r="G702" s="1" t="str">
        <f>"04289840268"</f>
        <v>04289840268</v>
      </c>
      <c r="I702" s="1" t="s">
        <v>302</v>
      </c>
      <c r="L702" s="1" t="s">
        <v>43</v>
      </c>
      <c r="M702" s="1">
        <v>6000</v>
      </c>
      <c r="AG702" s="1">
        <v>7001.6</v>
      </c>
      <c r="AH702" s="2">
        <v>45147</v>
      </c>
      <c r="AI702" s="2">
        <v>45291</v>
      </c>
      <c r="AJ702" s="2">
        <v>45147</v>
      </c>
    </row>
    <row r="703" spans="1:36">
      <c r="A703" s="1" t="str">
        <f>"ZB13C303AB"</f>
        <v>ZB13C303AB</v>
      </c>
      <c r="B703" s="1" t="str">
        <f t="shared" si="10"/>
        <v>02406911202</v>
      </c>
      <c r="C703" s="1" t="s">
        <v>13</v>
      </c>
      <c r="D703" s="1" t="s">
        <v>180</v>
      </c>
      <c r="E703" s="1" t="s">
        <v>883</v>
      </c>
      <c r="F703" s="1" t="s">
        <v>158</v>
      </c>
      <c r="G703" s="1" t="str">
        <f>"06068041000"</f>
        <v>06068041000</v>
      </c>
      <c r="I703" s="1" t="s">
        <v>468</v>
      </c>
      <c r="L703" s="1" t="s">
        <v>43</v>
      </c>
      <c r="M703" s="1">
        <v>6000</v>
      </c>
      <c r="AG703" s="1">
        <v>5920</v>
      </c>
      <c r="AH703" s="2">
        <v>45149</v>
      </c>
      <c r="AI703" s="2">
        <v>45291</v>
      </c>
      <c r="AJ703" s="2">
        <v>45149</v>
      </c>
    </row>
    <row r="704" spans="1:36">
      <c r="A704" s="1" t="str">
        <f>"2023202033"</f>
        <v>2023202033</v>
      </c>
      <c r="B704" s="1" t="str">
        <f t="shared" si="10"/>
        <v>02406911202</v>
      </c>
      <c r="C704" s="1" t="s">
        <v>13</v>
      </c>
      <c r="D704" s="1" t="s">
        <v>167</v>
      </c>
      <c r="E704" s="1" t="s">
        <v>884</v>
      </c>
      <c r="F704" s="1" t="s">
        <v>885</v>
      </c>
      <c r="G704" s="1" t="str">
        <f>"02770891204"</f>
        <v>02770891204</v>
      </c>
      <c r="I704" s="1" t="s">
        <v>886</v>
      </c>
      <c r="L704" s="1" t="s">
        <v>43</v>
      </c>
      <c r="M704" s="1">
        <v>2141483.9300000002</v>
      </c>
      <c r="AG704" s="1">
        <v>0</v>
      </c>
      <c r="AH704" s="2">
        <v>45156</v>
      </c>
      <c r="AI704" s="2">
        <v>45657</v>
      </c>
      <c r="AJ704" s="2">
        <v>45156</v>
      </c>
    </row>
    <row r="705" spans="1:36">
      <c r="A705" s="1" t="str">
        <f>"ZA13C86BB3"</f>
        <v>ZA13C86BB3</v>
      </c>
      <c r="B705" s="1" t="str">
        <f t="shared" si="10"/>
        <v>02406911202</v>
      </c>
      <c r="C705" s="1" t="s">
        <v>13</v>
      </c>
      <c r="D705" s="1" t="s">
        <v>264</v>
      </c>
      <c r="E705" s="1" t="s">
        <v>887</v>
      </c>
      <c r="F705" s="1" t="s">
        <v>158</v>
      </c>
      <c r="G705" s="1" t="str">
        <f>"08864080158"</f>
        <v>08864080158</v>
      </c>
      <c r="I705" s="1" t="s">
        <v>438</v>
      </c>
      <c r="L705" s="1" t="s">
        <v>43</v>
      </c>
      <c r="M705" s="1">
        <v>30000</v>
      </c>
      <c r="AG705" s="1">
        <v>6317.85</v>
      </c>
      <c r="AH705" s="2">
        <v>45189</v>
      </c>
      <c r="AI705" s="2">
        <v>45657</v>
      </c>
      <c r="AJ705" s="2">
        <v>45189</v>
      </c>
    </row>
    <row r="706" spans="1:36">
      <c r="A706" s="1" t="str">
        <f>"997739894A"</f>
        <v>997739894A</v>
      </c>
      <c r="B706" s="1" t="str">
        <f t="shared" ref="B706:B769" si="11">"02406911202"</f>
        <v>02406911202</v>
      </c>
      <c r="C706" s="1" t="s">
        <v>13</v>
      </c>
      <c r="D706" s="1" t="s">
        <v>167</v>
      </c>
      <c r="E706" s="1" t="s">
        <v>888</v>
      </c>
      <c r="F706" s="1" t="s">
        <v>151</v>
      </c>
      <c r="G706" s="1" t="str">
        <f>"05849130157"</f>
        <v>05849130157</v>
      </c>
      <c r="I706" s="1" t="s">
        <v>634</v>
      </c>
      <c r="L706" s="1" t="s">
        <v>43</v>
      </c>
      <c r="M706" s="1">
        <v>398750</v>
      </c>
      <c r="AG706" s="1">
        <v>0</v>
      </c>
      <c r="AH706" s="2">
        <v>45131</v>
      </c>
      <c r="AI706" s="2">
        <v>46022</v>
      </c>
      <c r="AJ706" s="2">
        <v>45131</v>
      </c>
    </row>
    <row r="707" spans="1:36">
      <c r="A707" s="1" t="str">
        <f>"9977406FE2"</f>
        <v>9977406FE2</v>
      </c>
      <c r="B707" s="1" t="str">
        <f t="shared" si="11"/>
        <v>02406911202</v>
      </c>
      <c r="C707" s="1" t="s">
        <v>13</v>
      </c>
      <c r="D707" s="1" t="s">
        <v>167</v>
      </c>
      <c r="E707" s="1" t="s">
        <v>889</v>
      </c>
      <c r="F707" s="1" t="s">
        <v>151</v>
      </c>
      <c r="G707" s="1" t="str">
        <f>"03918040589"</f>
        <v>03918040589</v>
      </c>
      <c r="I707" s="1" t="s">
        <v>890</v>
      </c>
      <c r="L707" s="1" t="s">
        <v>43</v>
      </c>
      <c r="M707" s="1">
        <v>736600</v>
      </c>
      <c r="AG707" s="1">
        <v>45720</v>
      </c>
      <c r="AH707" s="2">
        <v>45131</v>
      </c>
      <c r="AI707" s="2">
        <v>46022</v>
      </c>
      <c r="AJ707" s="2">
        <v>45131</v>
      </c>
    </row>
    <row r="708" spans="1:36">
      <c r="A708" s="1" t="str">
        <f>"997741467F"</f>
        <v>997741467F</v>
      </c>
      <c r="B708" s="1" t="str">
        <f t="shared" si="11"/>
        <v>02406911202</v>
      </c>
      <c r="C708" s="1" t="s">
        <v>13</v>
      </c>
      <c r="D708" s="1" t="s">
        <v>167</v>
      </c>
      <c r="E708" s="1" t="s">
        <v>891</v>
      </c>
      <c r="F708" s="1" t="s">
        <v>151</v>
      </c>
      <c r="G708" s="1" t="str">
        <f>"00696360155"</f>
        <v>00696360155</v>
      </c>
      <c r="I708" s="1" t="s">
        <v>892</v>
      </c>
      <c r="L708" s="1" t="s">
        <v>43</v>
      </c>
      <c r="M708" s="1">
        <v>1624000</v>
      </c>
      <c r="AG708" s="1">
        <v>84000</v>
      </c>
      <c r="AH708" s="2">
        <v>45131</v>
      </c>
      <c r="AI708" s="2">
        <v>46022</v>
      </c>
      <c r="AJ708" s="2">
        <v>45131</v>
      </c>
    </row>
    <row r="709" spans="1:36">
      <c r="A709" s="1" t="str">
        <f>"9977419A9E"</f>
        <v>9977419A9E</v>
      </c>
      <c r="B709" s="1" t="str">
        <f t="shared" si="11"/>
        <v>02406911202</v>
      </c>
      <c r="C709" s="1" t="s">
        <v>13</v>
      </c>
      <c r="D709" s="1" t="s">
        <v>167</v>
      </c>
      <c r="E709" s="1" t="s">
        <v>893</v>
      </c>
      <c r="F709" s="1" t="s">
        <v>151</v>
      </c>
      <c r="G709" s="1" t="str">
        <f>"02774840595"</f>
        <v>02774840595</v>
      </c>
      <c r="I709" s="1" t="s">
        <v>97</v>
      </c>
      <c r="L709" s="1" t="s">
        <v>43</v>
      </c>
      <c r="M709" s="1">
        <v>135333.51999999999</v>
      </c>
      <c r="AG709" s="1">
        <v>0</v>
      </c>
      <c r="AH709" s="2">
        <v>45131</v>
      </c>
      <c r="AI709" s="2">
        <v>46022</v>
      </c>
      <c r="AJ709" s="2">
        <v>45131</v>
      </c>
    </row>
    <row r="710" spans="1:36">
      <c r="A710" s="1" t="str">
        <f>"Z4A3BD6BE0"</f>
        <v>Z4A3BD6BE0</v>
      </c>
      <c r="B710" s="1" t="str">
        <f t="shared" si="11"/>
        <v>02406911202</v>
      </c>
      <c r="C710" s="1" t="s">
        <v>13</v>
      </c>
      <c r="D710" s="1" t="s">
        <v>180</v>
      </c>
      <c r="E710" s="1" t="s">
        <v>279</v>
      </c>
      <c r="F710" s="1" t="s">
        <v>158</v>
      </c>
      <c r="G710" s="1" t="str">
        <f>"08948430965"</f>
        <v>08948430965</v>
      </c>
      <c r="I710" s="1" t="s">
        <v>894</v>
      </c>
      <c r="L710" s="1" t="s">
        <v>43</v>
      </c>
      <c r="M710" s="1">
        <v>5000</v>
      </c>
      <c r="AG710" s="1">
        <v>4866</v>
      </c>
      <c r="AH710" s="2">
        <v>45114</v>
      </c>
      <c r="AI710" s="2">
        <v>45291</v>
      </c>
      <c r="AJ710" s="2">
        <v>45114</v>
      </c>
    </row>
    <row r="711" spans="1:36">
      <c r="A711" s="1" t="str">
        <f>"994241004A"</f>
        <v>994241004A</v>
      </c>
      <c r="B711" s="1" t="str">
        <f t="shared" si="11"/>
        <v>02406911202</v>
      </c>
      <c r="C711" s="1" t="s">
        <v>13</v>
      </c>
      <c r="D711" s="1" t="s">
        <v>180</v>
      </c>
      <c r="E711" s="1" t="s">
        <v>220</v>
      </c>
      <c r="F711" s="1" t="s">
        <v>158</v>
      </c>
      <c r="G711" s="1" t="str">
        <f>"00133360081"</f>
        <v>00133360081</v>
      </c>
      <c r="I711" s="1" t="s">
        <v>188</v>
      </c>
      <c r="L711" s="1" t="s">
        <v>43</v>
      </c>
      <c r="M711" s="1">
        <v>39872.400000000001</v>
      </c>
      <c r="AG711" s="1">
        <v>46023</v>
      </c>
      <c r="AH711" s="2">
        <v>45128</v>
      </c>
      <c r="AI711" s="2">
        <v>45494</v>
      </c>
      <c r="AJ711" s="2">
        <v>45128</v>
      </c>
    </row>
    <row r="712" spans="1:36">
      <c r="A712" s="1" t="str">
        <f>"ZBB3C3B0F7"</f>
        <v>ZBB3C3B0F7</v>
      </c>
      <c r="B712" s="1" t="str">
        <f t="shared" si="11"/>
        <v>02406911202</v>
      </c>
      <c r="C712" s="1" t="s">
        <v>13</v>
      </c>
      <c r="D712" s="1" t="s">
        <v>180</v>
      </c>
      <c r="E712" s="1" t="s">
        <v>281</v>
      </c>
      <c r="F712" s="1" t="s">
        <v>158</v>
      </c>
      <c r="G712" s="1" t="str">
        <f>"09270550016"</f>
        <v>09270550016</v>
      </c>
      <c r="I712" s="1" t="s">
        <v>406</v>
      </c>
      <c r="L712" s="1" t="s">
        <v>43</v>
      </c>
      <c r="M712" s="1">
        <v>6000</v>
      </c>
      <c r="AG712" s="1">
        <v>6414.9</v>
      </c>
      <c r="AH712" s="2">
        <v>45160</v>
      </c>
      <c r="AI712" s="2">
        <v>45291</v>
      </c>
      <c r="AJ712" s="2">
        <v>45160</v>
      </c>
    </row>
    <row r="713" spans="1:36">
      <c r="A713" s="1" t="str">
        <f>"Z233C3F4D4"</f>
        <v>Z233C3F4D4</v>
      </c>
      <c r="B713" s="1" t="str">
        <f t="shared" si="11"/>
        <v>02406911202</v>
      </c>
      <c r="C713" s="1" t="s">
        <v>13</v>
      </c>
      <c r="D713" s="1" t="s">
        <v>264</v>
      </c>
      <c r="E713" s="1" t="s">
        <v>895</v>
      </c>
      <c r="F713" s="1" t="s">
        <v>158</v>
      </c>
      <c r="G713" s="1" t="str">
        <f>"02427910969"</f>
        <v>02427910969</v>
      </c>
      <c r="I713" s="1" t="s">
        <v>896</v>
      </c>
      <c r="L713" s="1" t="s">
        <v>43</v>
      </c>
      <c r="M713" s="1">
        <v>2000</v>
      </c>
      <c r="AG713" s="1">
        <v>0</v>
      </c>
      <c r="AH713" s="2">
        <v>45162</v>
      </c>
      <c r="AI713" s="2">
        <v>45291</v>
      </c>
      <c r="AJ713" s="2">
        <v>45162</v>
      </c>
    </row>
    <row r="714" spans="1:36">
      <c r="A714" s="1" t="str">
        <f>"Z123C3FFEF"</f>
        <v>Z123C3FFEF</v>
      </c>
      <c r="B714" s="1" t="str">
        <f t="shared" si="11"/>
        <v>02406911202</v>
      </c>
      <c r="C714" s="1" t="s">
        <v>13</v>
      </c>
      <c r="D714" s="1" t="s">
        <v>180</v>
      </c>
      <c r="E714" s="1" t="s">
        <v>281</v>
      </c>
      <c r="F714" s="1" t="s">
        <v>158</v>
      </c>
      <c r="G714" s="1" t="str">
        <f>"12572900152"</f>
        <v>12572900152</v>
      </c>
      <c r="I714" s="1" t="s">
        <v>335</v>
      </c>
      <c r="L714" s="1" t="s">
        <v>43</v>
      </c>
      <c r="M714" s="1">
        <v>6000</v>
      </c>
      <c r="AG714" s="1">
        <v>1257.5</v>
      </c>
      <c r="AH714" s="2">
        <v>45162</v>
      </c>
      <c r="AI714" s="2">
        <v>45291</v>
      </c>
      <c r="AJ714" s="2">
        <v>45162</v>
      </c>
    </row>
    <row r="715" spans="1:36">
      <c r="A715" s="1" t="str">
        <f>"Z6A3C4001F"</f>
        <v>Z6A3C4001F</v>
      </c>
      <c r="B715" s="1" t="str">
        <f t="shared" si="11"/>
        <v>02406911202</v>
      </c>
      <c r="C715" s="1" t="s">
        <v>13</v>
      </c>
      <c r="D715" s="1" t="s">
        <v>180</v>
      </c>
      <c r="E715" s="1" t="s">
        <v>281</v>
      </c>
      <c r="F715" s="1" t="s">
        <v>158</v>
      </c>
      <c r="G715" s="1" t="str">
        <f>"12572900152"</f>
        <v>12572900152</v>
      </c>
      <c r="I715" s="1" t="s">
        <v>335</v>
      </c>
      <c r="L715" s="1" t="s">
        <v>43</v>
      </c>
      <c r="M715" s="1">
        <v>5000</v>
      </c>
      <c r="AG715" s="1">
        <v>7025.13</v>
      </c>
      <c r="AH715" s="2">
        <v>45162</v>
      </c>
      <c r="AI715" s="2">
        <v>45291</v>
      </c>
      <c r="AJ715" s="2">
        <v>45162</v>
      </c>
    </row>
    <row r="716" spans="1:36">
      <c r="A716" s="1" t="str">
        <f>"Z863C4146A"</f>
        <v>Z863C4146A</v>
      </c>
      <c r="B716" s="1" t="str">
        <f t="shared" si="11"/>
        <v>02406911202</v>
      </c>
      <c r="C716" s="1" t="s">
        <v>13</v>
      </c>
      <c r="D716" s="1" t="s">
        <v>180</v>
      </c>
      <c r="E716" s="1" t="s">
        <v>279</v>
      </c>
      <c r="F716" s="1" t="s">
        <v>158</v>
      </c>
      <c r="G716" s="1" t="str">
        <f>"03784450961"</f>
        <v>03784450961</v>
      </c>
      <c r="I716" s="1" t="s">
        <v>897</v>
      </c>
      <c r="L716" s="1" t="s">
        <v>43</v>
      </c>
      <c r="M716" s="1">
        <v>5000</v>
      </c>
      <c r="AG716" s="1">
        <v>4021.5</v>
      </c>
      <c r="AH716" s="2">
        <v>45163</v>
      </c>
      <c r="AI716" s="2">
        <v>45291</v>
      </c>
      <c r="AJ716" s="2">
        <v>45163</v>
      </c>
    </row>
    <row r="717" spans="1:36">
      <c r="A717" s="1" t="str">
        <f>"Z283C41492"</f>
        <v>Z283C41492</v>
      </c>
      <c r="B717" s="1" t="str">
        <f t="shared" si="11"/>
        <v>02406911202</v>
      </c>
      <c r="C717" s="1" t="s">
        <v>13</v>
      </c>
      <c r="D717" s="1" t="s">
        <v>180</v>
      </c>
      <c r="E717" s="1" t="s">
        <v>181</v>
      </c>
      <c r="F717" s="1" t="s">
        <v>158</v>
      </c>
      <c r="G717" s="1" t="str">
        <f>"04918311210"</f>
        <v>04918311210</v>
      </c>
      <c r="I717" s="1" t="s">
        <v>85</v>
      </c>
      <c r="L717" s="1" t="s">
        <v>43</v>
      </c>
      <c r="M717" s="1">
        <v>6000</v>
      </c>
      <c r="AG717" s="1">
        <v>5945.46</v>
      </c>
      <c r="AH717" s="2">
        <v>45163</v>
      </c>
      <c r="AI717" s="2">
        <v>45291</v>
      </c>
      <c r="AJ717" s="2">
        <v>45163</v>
      </c>
    </row>
    <row r="718" spans="1:36">
      <c r="A718" s="1" t="str">
        <f>"ZEE3C416F4"</f>
        <v>ZEE3C416F4</v>
      </c>
      <c r="B718" s="1" t="str">
        <f t="shared" si="11"/>
        <v>02406911202</v>
      </c>
      <c r="C718" s="1" t="s">
        <v>13</v>
      </c>
      <c r="D718" s="1" t="s">
        <v>186</v>
      </c>
      <c r="E718" s="1" t="s">
        <v>898</v>
      </c>
      <c r="F718" s="1" t="s">
        <v>158</v>
      </c>
      <c r="G718" s="1" t="str">
        <f>"02491851206"</f>
        <v>02491851206</v>
      </c>
      <c r="I718" s="1" t="s">
        <v>639</v>
      </c>
      <c r="L718" s="1" t="s">
        <v>43</v>
      </c>
      <c r="M718" s="1">
        <v>559</v>
      </c>
      <c r="AG718" s="1">
        <v>559</v>
      </c>
      <c r="AH718" s="2">
        <v>45163</v>
      </c>
      <c r="AI718" s="2">
        <v>45291</v>
      </c>
      <c r="AJ718" s="2">
        <v>45163</v>
      </c>
    </row>
    <row r="719" spans="1:36">
      <c r="A719" s="1" t="str">
        <f>"ZC43C7367B"</f>
        <v>ZC43C7367B</v>
      </c>
      <c r="B719" s="1" t="str">
        <f t="shared" si="11"/>
        <v>02406911202</v>
      </c>
      <c r="C719" s="1" t="s">
        <v>13</v>
      </c>
      <c r="D719" s="1" t="s">
        <v>180</v>
      </c>
      <c r="E719" s="1" t="s">
        <v>244</v>
      </c>
      <c r="F719" s="1" t="s">
        <v>158</v>
      </c>
      <c r="G719" s="1" t="str">
        <f>"04384410017"</f>
        <v>04384410017</v>
      </c>
      <c r="I719" s="1" t="s">
        <v>833</v>
      </c>
      <c r="L719" s="1" t="s">
        <v>43</v>
      </c>
      <c r="M719" s="1">
        <v>5000</v>
      </c>
      <c r="AG719" s="1">
        <v>3837.6</v>
      </c>
      <c r="AH719" s="2">
        <v>45184</v>
      </c>
      <c r="AI719" s="2">
        <v>45291</v>
      </c>
      <c r="AJ719" s="2">
        <v>45184</v>
      </c>
    </row>
    <row r="720" spans="1:36">
      <c r="A720" s="1" t="str">
        <f>"ZF33C79C5F"</f>
        <v>ZF33C79C5F</v>
      </c>
      <c r="B720" s="1" t="str">
        <f t="shared" si="11"/>
        <v>02406911202</v>
      </c>
      <c r="C720" s="1" t="s">
        <v>13</v>
      </c>
      <c r="D720" s="1" t="s">
        <v>180</v>
      </c>
      <c r="E720" s="1" t="s">
        <v>279</v>
      </c>
      <c r="F720" s="1" t="s">
        <v>158</v>
      </c>
      <c r="G720" s="1" t="str">
        <f>"04804230151"</f>
        <v>04804230151</v>
      </c>
      <c r="I720" s="1" t="s">
        <v>64</v>
      </c>
      <c r="L720" s="1" t="s">
        <v>43</v>
      </c>
      <c r="M720" s="1">
        <v>5000</v>
      </c>
      <c r="AG720" s="1">
        <v>1781</v>
      </c>
      <c r="AH720" s="2">
        <v>45184</v>
      </c>
      <c r="AI720" s="2">
        <v>45657</v>
      </c>
      <c r="AJ720" s="2">
        <v>45184</v>
      </c>
    </row>
    <row r="721" spans="1:36">
      <c r="A721" s="1" t="str">
        <f>"Z153C79D53"</f>
        <v>Z153C79D53</v>
      </c>
      <c r="B721" s="1" t="str">
        <f t="shared" si="11"/>
        <v>02406911202</v>
      </c>
      <c r="C721" s="1" t="s">
        <v>13</v>
      </c>
      <c r="D721" s="1" t="s">
        <v>186</v>
      </c>
      <c r="E721" s="1" t="s">
        <v>899</v>
      </c>
      <c r="F721" s="1" t="s">
        <v>158</v>
      </c>
      <c r="G721" s="1" t="str">
        <f>"01140030360"</f>
        <v>01140030360</v>
      </c>
      <c r="I721" s="1" t="s">
        <v>111</v>
      </c>
      <c r="L721" s="1" t="s">
        <v>43</v>
      </c>
      <c r="M721" s="1">
        <v>4999</v>
      </c>
      <c r="AG721" s="1">
        <v>144</v>
      </c>
      <c r="AH721" s="2">
        <v>45184</v>
      </c>
      <c r="AI721" s="2">
        <v>45657</v>
      </c>
      <c r="AJ721" s="2">
        <v>45184</v>
      </c>
    </row>
    <row r="722" spans="1:36">
      <c r="A722" s="1" t="str">
        <f>"Z053BFAF5D"</f>
        <v>Z053BFAF5D</v>
      </c>
      <c r="B722" s="1" t="str">
        <f t="shared" si="11"/>
        <v>02406911202</v>
      </c>
      <c r="C722" s="1" t="s">
        <v>13</v>
      </c>
      <c r="D722" s="1" t="s">
        <v>186</v>
      </c>
      <c r="E722" s="1" t="s">
        <v>900</v>
      </c>
      <c r="F722" s="1" t="s">
        <v>158</v>
      </c>
      <c r="G722" s="1" t="str">
        <f>"01597140282"</f>
        <v>01597140282</v>
      </c>
      <c r="I722" s="1" t="s">
        <v>598</v>
      </c>
      <c r="L722" s="1" t="s">
        <v>43</v>
      </c>
      <c r="M722" s="1">
        <v>4999</v>
      </c>
      <c r="AG722" s="1">
        <v>2009</v>
      </c>
      <c r="AH722" s="2">
        <v>45128</v>
      </c>
      <c r="AI722" s="2">
        <v>45291</v>
      </c>
      <c r="AJ722" s="2">
        <v>45128</v>
      </c>
    </row>
    <row r="723" spans="1:36">
      <c r="A723" s="1" t="str">
        <f>"Z013C097A3"</f>
        <v>Z013C097A3</v>
      </c>
      <c r="B723" s="1" t="str">
        <f t="shared" si="11"/>
        <v>02406911202</v>
      </c>
      <c r="C723" s="1" t="s">
        <v>13</v>
      </c>
      <c r="D723" s="1" t="s">
        <v>180</v>
      </c>
      <c r="E723" s="1" t="s">
        <v>181</v>
      </c>
      <c r="F723" s="1" t="s">
        <v>158</v>
      </c>
      <c r="G723" s="1" t="str">
        <f>"00832400154"</f>
        <v>00832400154</v>
      </c>
      <c r="I723" s="1" t="s">
        <v>641</v>
      </c>
      <c r="L723" s="1" t="s">
        <v>43</v>
      </c>
      <c r="M723" s="1">
        <v>6000</v>
      </c>
      <c r="AG723" s="1">
        <v>5894.67</v>
      </c>
      <c r="AH723" s="2">
        <v>45134</v>
      </c>
      <c r="AI723" s="2">
        <v>45291</v>
      </c>
      <c r="AJ723" s="2">
        <v>45134</v>
      </c>
    </row>
    <row r="724" spans="1:36">
      <c r="A724" s="1" t="str">
        <f>"Z7A3C164D0"</f>
        <v>Z7A3C164D0</v>
      </c>
      <c r="B724" s="1" t="str">
        <f t="shared" si="11"/>
        <v>02406911202</v>
      </c>
      <c r="C724" s="1" t="s">
        <v>13</v>
      </c>
      <c r="D724" s="1" t="s">
        <v>180</v>
      </c>
      <c r="E724" s="1" t="s">
        <v>296</v>
      </c>
      <c r="F724" s="1" t="s">
        <v>158</v>
      </c>
      <c r="G724" s="1" t="str">
        <f>"12693140159"</f>
        <v>12693140159</v>
      </c>
      <c r="I724" s="1" t="s">
        <v>310</v>
      </c>
      <c r="L724" s="1" t="s">
        <v>43</v>
      </c>
      <c r="M724" s="1">
        <v>5000</v>
      </c>
      <c r="AG724" s="1">
        <v>4100</v>
      </c>
      <c r="AH724" s="2">
        <v>45139</v>
      </c>
      <c r="AI724" s="2">
        <v>45291</v>
      </c>
      <c r="AJ724" s="2">
        <v>45139</v>
      </c>
    </row>
    <row r="725" spans="1:36">
      <c r="A725" s="1" t="str">
        <f>"Z2F3C16726"</f>
        <v>Z2F3C16726</v>
      </c>
      <c r="B725" s="1" t="str">
        <f t="shared" si="11"/>
        <v>02406911202</v>
      </c>
      <c r="C725" s="1" t="s">
        <v>13</v>
      </c>
      <c r="D725" s="1" t="s">
        <v>180</v>
      </c>
      <c r="E725" s="1" t="s">
        <v>220</v>
      </c>
      <c r="F725" s="1" t="s">
        <v>158</v>
      </c>
      <c r="G725" s="1" t="str">
        <f>"11575580151"</f>
        <v>11575580151</v>
      </c>
      <c r="I725" s="1" t="s">
        <v>127</v>
      </c>
      <c r="L725" s="1" t="s">
        <v>43</v>
      </c>
      <c r="M725" s="1">
        <v>5000</v>
      </c>
      <c r="AG725" s="1">
        <v>5400</v>
      </c>
      <c r="AH725" s="2">
        <v>45139</v>
      </c>
      <c r="AI725" s="2">
        <v>45291</v>
      </c>
      <c r="AJ725" s="2">
        <v>45139</v>
      </c>
    </row>
    <row r="726" spans="1:36">
      <c r="A726" s="1" t="str">
        <f>"99785629DA"</f>
        <v>99785629DA</v>
      </c>
      <c r="B726" s="1" t="str">
        <f t="shared" si="11"/>
        <v>02406911202</v>
      </c>
      <c r="C726" s="1" t="s">
        <v>13</v>
      </c>
      <c r="D726" s="1" t="s">
        <v>167</v>
      </c>
      <c r="E726" s="1" t="s">
        <v>901</v>
      </c>
      <c r="F726" s="1" t="s">
        <v>51</v>
      </c>
      <c r="G726" s="1" t="str">
        <f>"00510561202"</f>
        <v>00510561202</v>
      </c>
      <c r="I726" s="1" t="s">
        <v>902</v>
      </c>
      <c r="L726" s="1" t="s">
        <v>43</v>
      </c>
      <c r="M726" s="1">
        <v>11504.58</v>
      </c>
      <c r="AG726" s="1">
        <v>3895.3</v>
      </c>
      <c r="AH726" s="2">
        <v>45146</v>
      </c>
      <c r="AI726" s="2">
        <v>45511</v>
      </c>
      <c r="AJ726" s="2">
        <v>45146</v>
      </c>
    </row>
    <row r="727" spans="1:36">
      <c r="A727" s="1" t="str">
        <f>"9978526C24"</f>
        <v>9978526C24</v>
      </c>
      <c r="B727" s="1" t="str">
        <f t="shared" si="11"/>
        <v>02406911202</v>
      </c>
      <c r="C727" s="1" t="s">
        <v>13</v>
      </c>
      <c r="D727" s="1" t="s">
        <v>167</v>
      </c>
      <c r="E727" s="1" t="s">
        <v>903</v>
      </c>
      <c r="F727" s="1" t="s">
        <v>51</v>
      </c>
      <c r="G727" s="1" t="str">
        <f>"11030881004"</f>
        <v>11030881004</v>
      </c>
      <c r="I727" s="1" t="s">
        <v>560</v>
      </c>
      <c r="L727" s="1" t="s">
        <v>43</v>
      </c>
      <c r="M727" s="1">
        <v>9800</v>
      </c>
      <c r="AG727" s="1">
        <v>2687.56</v>
      </c>
      <c r="AH727" s="2">
        <v>45139</v>
      </c>
      <c r="AI727" s="2">
        <v>45504</v>
      </c>
      <c r="AJ727" s="2">
        <v>45139</v>
      </c>
    </row>
    <row r="728" spans="1:36">
      <c r="A728" s="1" t="str">
        <f>"A002AA302B"</f>
        <v>A002AA302B</v>
      </c>
      <c r="B728" s="1" t="str">
        <f t="shared" si="11"/>
        <v>02406911202</v>
      </c>
      <c r="C728" s="1" t="s">
        <v>13</v>
      </c>
      <c r="D728" s="1" t="s">
        <v>167</v>
      </c>
      <c r="E728" s="1" t="s">
        <v>904</v>
      </c>
      <c r="F728" s="1" t="s">
        <v>39</v>
      </c>
      <c r="G728" s="1" t="str">
        <f>"09238800156"</f>
        <v>09238800156</v>
      </c>
      <c r="I728" s="1" t="s">
        <v>92</v>
      </c>
      <c r="L728" s="1" t="s">
        <v>43</v>
      </c>
      <c r="M728" s="1">
        <v>70675</v>
      </c>
      <c r="AG728" s="1">
        <v>20100.78</v>
      </c>
      <c r="AH728" s="2">
        <v>45145</v>
      </c>
      <c r="AI728" s="2">
        <v>45354</v>
      </c>
      <c r="AJ728" s="2">
        <v>45145</v>
      </c>
    </row>
    <row r="729" spans="1:36">
      <c r="A729" s="1" t="str">
        <f>"2023102033"</f>
        <v>2023102033</v>
      </c>
      <c r="B729" s="1" t="str">
        <f t="shared" si="11"/>
        <v>02406911202</v>
      </c>
      <c r="C729" s="1" t="s">
        <v>13</v>
      </c>
      <c r="D729" s="1" t="s">
        <v>167</v>
      </c>
      <c r="E729" s="1" t="s">
        <v>884</v>
      </c>
      <c r="F729" s="1" t="s">
        <v>885</v>
      </c>
      <c r="G729" s="1" t="str">
        <f>"02770891204"</f>
        <v>02770891204</v>
      </c>
      <c r="I729" s="1" t="s">
        <v>886</v>
      </c>
      <c r="L729" s="1" t="s">
        <v>43</v>
      </c>
      <c r="M729" s="1">
        <v>192357.77</v>
      </c>
      <c r="AG729" s="1">
        <v>0</v>
      </c>
      <c r="AH729" s="2">
        <v>45156</v>
      </c>
      <c r="AI729" s="2">
        <v>45291</v>
      </c>
      <c r="AJ729" s="2">
        <v>45156</v>
      </c>
    </row>
    <row r="730" spans="1:36">
      <c r="A730" s="1" t="str">
        <f>"A0009ADCE5"</f>
        <v>A0009ADCE5</v>
      </c>
      <c r="B730" s="1" t="str">
        <f t="shared" si="11"/>
        <v>02406911202</v>
      </c>
      <c r="C730" s="1" t="s">
        <v>13</v>
      </c>
      <c r="D730" s="1" t="s">
        <v>167</v>
      </c>
      <c r="E730" s="1" t="s">
        <v>905</v>
      </c>
      <c r="F730" s="1" t="s">
        <v>151</v>
      </c>
      <c r="G730" s="1" t="str">
        <f>"00131840357"</f>
        <v>00131840357</v>
      </c>
      <c r="I730" s="1" t="s">
        <v>358</v>
      </c>
      <c r="L730" s="1" t="s">
        <v>43</v>
      </c>
      <c r="M730" s="1">
        <v>40287.39</v>
      </c>
      <c r="AG730" s="1">
        <v>13504.2</v>
      </c>
      <c r="AH730" s="2">
        <v>45160</v>
      </c>
      <c r="AI730" s="2">
        <v>45291</v>
      </c>
      <c r="AJ730" s="2">
        <v>45160</v>
      </c>
    </row>
    <row r="731" spans="1:36">
      <c r="A731" s="1" t="str">
        <f>"ZE73BD9F04"</f>
        <v>ZE73BD9F04</v>
      </c>
      <c r="B731" s="1" t="str">
        <f t="shared" si="11"/>
        <v>02406911202</v>
      </c>
      <c r="C731" s="1" t="s">
        <v>13</v>
      </c>
      <c r="D731" s="1" t="s">
        <v>186</v>
      </c>
      <c r="E731" s="1" t="s">
        <v>353</v>
      </c>
      <c r="F731" s="1" t="s">
        <v>158</v>
      </c>
      <c r="G731" s="1" t="str">
        <f>"00156320376"</f>
        <v>00156320376</v>
      </c>
      <c r="I731" s="1" t="s">
        <v>906</v>
      </c>
      <c r="L731" s="1" t="s">
        <v>43</v>
      </c>
      <c r="M731" s="1">
        <v>700</v>
      </c>
      <c r="AG731" s="1">
        <v>700</v>
      </c>
      <c r="AH731" s="2">
        <v>45118</v>
      </c>
      <c r="AI731" s="2">
        <v>45138</v>
      </c>
      <c r="AJ731" s="2">
        <v>45118</v>
      </c>
    </row>
    <row r="732" spans="1:36">
      <c r="A732" s="1" t="str">
        <f>"Z573BD2EAB"</f>
        <v>Z573BD2EAB</v>
      </c>
      <c r="B732" s="1" t="str">
        <f t="shared" si="11"/>
        <v>02406911202</v>
      </c>
      <c r="C732" s="1" t="s">
        <v>13</v>
      </c>
      <c r="D732" s="1" t="s">
        <v>167</v>
      </c>
      <c r="E732" s="1" t="s">
        <v>907</v>
      </c>
      <c r="F732" s="1" t="s">
        <v>39</v>
      </c>
      <c r="G732" s="1" t="str">
        <f>"07435060152"</f>
        <v>07435060152</v>
      </c>
      <c r="I732" s="1" t="s">
        <v>552</v>
      </c>
      <c r="L732" s="1" t="s">
        <v>43</v>
      </c>
      <c r="M732" s="1">
        <v>10359</v>
      </c>
      <c r="AG732" s="1">
        <v>3205.9</v>
      </c>
      <c r="AH732" s="2">
        <v>45114</v>
      </c>
      <c r="AI732" s="2">
        <v>45322</v>
      </c>
      <c r="AJ732" s="2">
        <v>45114</v>
      </c>
    </row>
    <row r="733" spans="1:36">
      <c r="A733" s="1" t="str">
        <f>"9892540E3F"</f>
        <v>9892540E3F</v>
      </c>
      <c r="B733" s="1" t="str">
        <f t="shared" si="11"/>
        <v>02406911202</v>
      </c>
      <c r="C733" s="1" t="s">
        <v>13</v>
      </c>
      <c r="D733" s="1" t="s">
        <v>167</v>
      </c>
      <c r="E733" s="1" t="s">
        <v>908</v>
      </c>
      <c r="F733" s="1" t="s">
        <v>39</v>
      </c>
      <c r="G733" s="1" t="str">
        <f>"02148950344"</f>
        <v>02148950344</v>
      </c>
      <c r="I733" s="1" t="s">
        <v>845</v>
      </c>
      <c r="L733" s="1" t="s">
        <v>43</v>
      </c>
      <c r="M733" s="1">
        <v>2505</v>
      </c>
      <c r="AG733" s="1">
        <v>0</v>
      </c>
      <c r="AH733" s="2">
        <v>45120</v>
      </c>
      <c r="AI733" s="2">
        <v>45291</v>
      </c>
      <c r="AJ733" s="2">
        <v>45120</v>
      </c>
    </row>
    <row r="734" spans="1:36">
      <c r="A734" s="1" t="str">
        <f>"98925717D6"</f>
        <v>98925717D6</v>
      </c>
      <c r="B734" s="1" t="str">
        <f t="shared" si="11"/>
        <v>02406911202</v>
      </c>
      <c r="C734" s="1" t="s">
        <v>13</v>
      </c>
      <c r="D734" s="1" t="s">
        <v>167</v>
      </c>
      <c r="E734" s="1" t="s">
        <v>909</v>
      </c>
      <c r="F734" s="1" t="s">
        <v>39</v>
      </c>
      <c r="G734" s="1" t="str">
        <f>"02148950344"</f>
        <v>02148950344</v>
      </c>
      <c r="I734" s="1" t="s">
        <v>845</v>
      </c>
      <c r="L734" s="1" t="s">
        <v>43</v>
      </c>
      <c r="M734" s="1">
        <v>8800</v>
      </c>
      <c r="AG734" s="1">
        <v>0</v>
      </c>
      <c r="AH734" s="2">
        <v>45120</v>
      </c>
      <c r="AI734" s="2">
        <v>45291</v>
      </c>
      <c r="AJ734" s="2">
        <v>45120</v>
      </c>
    </row>
    <row r="735" spans="1:36">
      <c r="A735" s="1" t="str">
        <f>"9892598E1C"</f>
        <v>9892598E1C</v>
      </c>
      <c r="B735" s="1" t="str">
        <f t="shared" si="11"/>
        <v>02406911202</v>
      </c>
      <c r="C735" s="1" t="s">
        <v>13</v>
      </c>
      <c r="D735" s="1" t="s">
        <v>167</v>
      </c>
      <c r="E735" s="1" t="s">
        <v>910</v>
      </c>
      <c r="F735" s="1" t="s">
        <v>39</v>
      </c>
      <c r="G735" s="1" t="str">
        <f>"02148950344"</f>
        <v>02148950344</v>
      </c>
      <c r="I735" s="1" t="s">
        <v>845</v>
      </c>
      <c r="L735" s="1" t="s">
        <v>43</v>
      </c>
      <c r="M735" s="1">
        <v>7800</v>
      </c>
      <c r="AG735" s="1">
        <v>0</v>
      </c>
      <c r="AH735" s="2">
        <v>45120</v>
      </c>
      <c r="AI735" s="2">
        <v>45291</v>
      </c>
      <c r="AJ735" s="2">
        <v>45120</v>
      </c>
    </row>
    <row r="736" spans="1:36">
      <c r="A736" s="1" t="str">
        <f>"Z103C479F4"</f>
        <v>Z103C479F4</v>
      </c>
      <c r="B736" s="1" t="str">
        <f t="shared" si="11"/>
        <v>02406911202</v>
      </c>
      <c r="C736" s="1" t="s">
        <v>13</v>
      </c>
      <c r="D736" s="1" t="s">
        <v>264</v>
      </c>
      <c r="E736" s="1" t="s">
        <v>911</v>
      </c>
      <c r="F736" s="1" t="s">
        <v>158</v>
      </c>
      <c r="G736" s="1" t="str">
        <f>"01758800161"</f>
        <v>01758800161</v>
      </c>
      <c r="I736" s="1" t="s">
        <v>912</v>
      </c>
      <c r="L736" s="1" t="s">
        <v>43</v>
      </c>
      <c r="M736" s="1">
        <v>2322</v>
      </c>
      <c r="AG736" s="1">
        <v>0</v>
      </c>
      <c r="AH736" s="2">
        <v>45167</v>
      </c>
      <c r="AI736" s="2">
        <v>45174</v>
      </c>
      <c r="AJ736" s="2">
        <v>45167</v>
      </c>
    </row>
    <row r="737" spans="1:36">
      <c r="A737" s="1" t="str">
        <f>"ZF73C4C10A"</f>
        <v>ZF73C4C10A</v>
      </c>
      <c r="B737" s="1" t="str">
        <f t="shared" si="11"/>
        <v>02406911202</v>
      </c>
      <c r="C737" s="1" t="s">
        <v>13</v>
      </c>
      <c r="D737" s="1" t="s">
        <v>180</v>
      </c>
      <c r="E737" s="1" t="s">
        <v>913</v>
      </c>
      <c r="F737" s="1" t="s">
        <v>158</v>
      </c>
      <c r="G737" s="1" t="str">
        <f>"12572900152"</f>
        <v>12572900152</v>
      </c>
      <c r="I737" s="1" t="s">
        <v>335</v>
      </c>
      <c r="L737" s="1" t="s">
        <v>43</v>
      </c>
      <c r="M737" s="1">
        <v>6000</v>
      </c>
      <c r="AG737" s="1">
        <v>6998.58</v>
      </c>
      <c r="AH737" s="2">
        <v>45168</v>
      </c>
      <c r="AI737" s="2">
        <v>45291</v>
      </c>
      <c r="AJ737" s="2">
        <v>45168</v>
      </c>
    </row>
    <row r="738" spans="1:36">
      <c r="A738" s="1" t="str">
        <f>"Z303C52942"</f>
        <v>Z303C52942</v>
      </c>
      <c r="B738" s="1" t="str">
        <f t="shared" si="11"/>
        <v>02406911202</v>
      </c>
      <c r="C738" s="1" t="s">
        <v>13</v>
      </c>
      <c r="D738" s="1" t="s">
        <v>180</v>
      </c>
      <c r="E738" s="1" t="s">
        <v>281</v>
      </c>
      <c r="F738" s="1" t="s">
        <v>158</v>
      </c>
      <c r="G738" s="1" t="str">
        <f>"03353370160"</f>
        <v>03353370160</v>
      </c>
      <c r="I738" s="1" t="s">
        <v>478</v>
      </c>
      <c r="L738" s="1" t="s">
        <v>43</v>
      </c>
      <c r="M738" s="1">
        <v>6000</v>
      </c>
      <c r="AG738" s="1">
        <v>4333.1499999999996</v>
      </c>
      <c r="AH738" s="2">
        <v>45170</v>
      </c>
      <c r="AI738" s="2">
        <v>45291</v>
      </c>
      <c r="AJ738" s="2">
        <v>45170</v>
      </c>
    </row>
    <row r="739" spans="1:36">
      <c r="A739" s="1" t="str">
        <f>"ZCA3C51113"</f>
        <v>ZCA3C51113</v>
      </c>
      <c r="B739" s="1" t="str">
        <f t="shared" si="11"/>
        <v>02406911202</v>
      </c>
      <c r="C739" s="1" t="s">
        <v>13</v>
      </c>
      <c r="D739" s="1" t="s">
        <v>167</v>
      </c>
      <c r="E739" s="1" t="s">
        <v>914</v>
      </c>
      <c r="F739" s="1" t="s">
        <v>39</v>
      </c>
      <c r="G739" s="1" t="str">
        <f>"13144290155"</f>
        <v>13144290155</v>
      </c>
      <c r="I739" s="1" t="s">
        <v>915</v>
      </c>
      <c r="L739" s="1" t="s">
        <v>43</v>
      </c>
      <c r="M739" s="1">
        <v>22622.95</v>
      </c>
      <c r="AG739" s="1">
        <v>2074.9499999999998</v>
      </c>
      <c r="AH739" s="2">
        <v>45170</v>
      </c>
      <c r="AI739" s="2">
        <v>45351</v>
      </c>
      <c r="AJ739" s="2">
        <v>45170</v>
      </c>
    </row>
    <row r="740" spans="1:36">
      <c r="A740" s="1" t="str">
        <f>"ZC43C7C2B0"</f>
        <v>ZC43C7C2B0</v>
      </c>
      <c r="B740" s="1" t="str">
        <f t="shared" si="11"/>
        <v>02406911202</v>
      </c>
      <c r="C740" s="1" t="s">
        <v>13</v>
      </c>
      <c r="D740" s="1" t="s">
        <v>180</v>
      </c>
      <c r="E740" s="1" t="s">
        <v>281</v>
      </c>
      <c r="F740" s="1" t="s">
        <v>158</v>
      </c>
      <c r="G740" s="1" t="str">
        <f>"04289840268"</f>
        <v>04289840268</v>
      </c>
      <c r="I740" s="1" t="s">
        <v>302</v>
      </c>
      <c r="L740" s="1" t="s">
        <v>43</v>
      </c>
      <c r="M740" s="1">
        <v>6000</v>
      </c>
      <c r="AG740" s="1">
        <v>6141.9</v>
      </c>
      <c r="AH740" s="2">
        <v>45187</v>
      </c>
      <c r="AI740" s="2">
        <v>45291</v>
      </c>
      <c r="AJ740" s="2">
        <v>45187</v>
      </c>
    </row>
    <row r="741" spans="1:36">
      <c r="A741" s="1" t="str">
        <f>"Z763BBF087"</f>
        <v>Z763BBF087</v>
      </c>
      <c r="B741" s="1" t="str">
        <f t="shared" si="11"/>
        <v>02406911202</v>
      </c>
      <c r="C741" s="1" t="s">
        <v>13</v>
      </c>
      <c r="D741" s="1" t="s">
        <v>177</v>
      </c>
      <c r="E741" s="1" t="s">
        <v>916</v>
      </c>
      <c r="F741" s="1" t="s">
        <v>39</v>
      </c>
      <c r="G741" s="1" t="str">
        <f>"03510961208"</f>
        <v>03510961208</v>
      </c>
      <c r="I741" s="1" t="s">
        <v>236</v>
      </c>
      <c r="L741" s="1" t="s">
        <v>43</v>
      </c>
      <c r="M741" s="1">
        <v>840000</v>
      </c>
      <c r="AG741" s="1">
        <v>155363.84</v>
      </c>
      <c r="AH741" s="2">
        <v>45108</v>
      </c>
      <c r="AI741" s="2">
        <v>45657</v>
      </c>
      <c r="AJ741" s="2">
        <v>45108</v>
      </c>
    </row>
    <row r="742" spans="1:36">
      <c r="A742" s="1" t="str">
        <f>"Z5F3BBE56D"</f>
        <v>Z5F3BBE56D</v>
      </c>
      <c r="B742" s="1" t="str">
        <f t="shared" si="11"/>
        <v>02406911202</v>
      </c>
      <c r="C742" s="1" t="s">
        <v>13</v>
      </c>
      <c r="D742" s="1" t="s">
        <v>177</v>
      </c>
      <c r="E742" s="1" t="s">
        <v>917</v>
      </c>
      <c r="F742" s="1" t="s">
        <v>39</v>
      </c>
      <c r="G742" s="1" t="str">
        <f>"03772490375"</f>
        <v>03772490375</v>
      </c>
      <c r="I742" s="1" t="s">
        <v>243</v>
      </c>
      <c r="L742" s="1" t="s">
        <v>43</v>
      </c>
      <c r="M742" s="1">
        <v>2000000</v>
      </c>
      <c r="AG742" s="1">
        <v>314997</v>
      </c>
      <c r="AH742" s="2">
        <v>45108</v>
      </c>
      <c r="AI742" s="2">
        <v>45657</v>
      </c>
      <c r="AJ742" s="2">
        <v>45108</v>
      </c>
    </row>
    <row r="743" spans="1:36">
      <c r="A743" s="1" t="str">
        <f>"Z343BDC317"</f>
        <v>Z343BDC317</v>
      </c>
      <c r="B743" s="1" t="str">
        <f t="shared" si="11"/>
        <v>02406911202</v>
      </c>
      <c r="C743" s="1" t="s">
        <v>13</v>
      </c>
      <c r="D743" s="1" t="s">
        <v>180</v>
      </c>
      <c r="E743" s="1" t="s">
        <v>279</v>
      </c>
      <c r="F743" s="1" t="s">
        <v>158</v>
      </c>
      <c r="G743" s="1" t="str">
        <f>"06754140157"</f>
        <v>06754140157</v>
      </c>
      <c r="I743" s="1" t="s">
        <v>918</v>
      </c>
      <c r="L743" s="1" t="s">
        <v>43</v>
      </c>
      <c r="M743" s="1">
        <v>5000</v>
      </c>
      <c r="AG743" s="1">
        <v>2362.14</v>
      </c>
      <c r="AH743" s="2">
        <v>45119</v>
      </c>
      <c r="AI743" s="2">
        <v>45657</v>
      </c>
      <c r="AJ743" s="2">
        <v>45119</v>
      </c>
    </row>
    <row r="744" spans="1:36">
      <c r="A744" s="1" t="str">
        <f>"ZAC3BFDA6A"</f>
        <v>ZAC3BFDA6A</v>
      </c>
      <c r="B744" s="1" t="str">
        <f t="shared" si="11"/>
        <v>02406911202</v>
      </c>
      <c r="C744" s="1" t="s">
        <v>13</v>
      </c>
      <c r="D744" s="1" t="s">
        <v>186</v>
      </c>
      <c r="E744" s="1" t="s">
        <v>919</v>
      </c>
      <c r="F744" s="1" t="s">
        <v>158</v>
      </c>
      <c r="G744" s="1" t="str">
        <f>"03190310262"</f>
        <v>03190310262</v>
      </c>
      <c r="I744" s="1" t="s">
        <v>920</v>
      </c>
      <c r="L744" s="1" t="s">
        <v>43</v>
      </c>
      <c r="M744" s="1">
        <v>5998.8</v>
      </c>
      <c r="AG744" s="1">
        <v>4155.5</v>
      </c>
      <c r="AH744" s="2">
        <v>45131</v>
      </c>
      <c r="AI744" s="2">
        <v>45322</v>
      </c>
      <c r="AJ744" s="2">
        <v>45131</v>
      </c>
    </row>
    <row r="745" spans="1:36">
      <c r="A745" s="1" t="str">
        <f>"Z263BEA6B5"</f>
        <v>Z263BEA6B5</v>
      </c>
      <c r="B745" s="1" t="str">
        <f t="shared" si="11"/>
        <v>02406911202</v>
      </c>
      <c r="C745" s="1" t="s">
        <v>13</v>
      </c>
      <c r="D745" s="1" t="s">
        <v>177</v>
      </c>
      <c r="E745" s="1" t="s">
        <v>921</v>
      </c>
      <c r="F745" s="1" t="s">
        <v>158</v>
      </c>
      <c r="G745" s="1" t="str">
        <f>"03337111201"</f>
        <v>03337111201</v>
      </c>
      <c r="I745" s="1" t="s">
        <v>518</v>
      </c>
      <c r="L745" s="1" t="s">
        <v>43</v>
      </c>
      <c r="M745" s="1">
        <v>715500</v>
      </c>
      <c r="AG745" s="1">
        <v>116945.55</v>
      </c>
      <c r="AH745" s="2">
        <v>45108</v>
      </c>
      <c r="AI745" s="2">
        <v>45657</v>
      </c>
      <c r="AJ745" s="2">
        <v>45108</v>
      </c>
    </row>
    <row r="746" spans="1:36">
      <c r="A746" s="1" t="str">
        <f>"ZBF3BEF439"</f>
        <v>ZBF3BEF439</v>
      </c>
      <c r="B746" s="1" t="str">
        <f t="shared" si="11"/>
        <v>02406911202</v>
      </c>
      <c r="C746" s="1" t="s">
        <v>13</v>
      </c>
      <c r="D746" s="1" t="s">
        <v>177</v>
      </c>
      <c r="E746" s="1" t="s">
        <v>922</v>
      </c>
      <c r="F746" s="1" t="s">
        <v>158</v>
      </c>
      <c r="G746" s="1" t="str">
        <f>"80099130371"</f>
        <v>80099130371</v>
      </c>
      <c r="I746" s="1" t="s">
        <v>275</v>
      </c>
      <c r="L746" s="1" t="s">
        <v>43</v>
      </c>
      <c r="M746" s="1">
        <v>251700</v>
      </c>
      <c r="AG746" s="1">
        <v>43032.59</v>
      </c>
      <c r="AH746" s="2">
        <v>45108</v>
      </c>
      <c r="AI746" s="2">
        <v>45657</v>
      </c>
      <c r="AJ746" s="2">
        <v>45108</v>
      </c>
    </row>
    <row r="747" spans="1:36">
      <c r="A747" s="1" t="str">
        <f>"Z8B3BEFBC7"</f>
        <v>Z8B3BEFBC7</v>
      </c>
      <c r="B747" s="1" t="str">
        <f t="shared" si="11"/>
        <v>02406911202</v>
      </c>
      <c r="C747" s="1" t="s">
        <v>13</v>
      </c>
      <c r="D747" s="1" t="s">
        <v>177</v>
      </c>
      <c r="E747" s="1" t="s">
        <v>923</v>
      </c>
      <c r="F747" s="1" t="s">
        <v>158</v>
      </c>
      <c r="G747" s="1" t="str">
        <f>"02486641208"</f>
        <v>02486641208</v>
      </c>
      <c r="I747" s="1" t="s">
        <v>194</v>
      </c>
      <c r="L747" s="1" t="s">
        <v>43</v>
      </c>
      <c r="M747" s="1">
        <v>991275</v>
      </c>
      <c r="AG747" s="1">
        <v>167299.74</v>
      </c>
      <c r="AH747" s="2">
        <v>45108</v>
      </c>
      <c r="AI747" s="2">
        <v>45657</v>
      </c>
      <c r="AJ747" s="2">
        <v>45108</v>
      </c>
    </row>
    <row r="748" spans="1:36">
      <c r="A748" s="1" t="str">
        <f>"Z0E3BE9E47"</f>
        <v>Z0E3BE9E47</v>
      </c>
      <c r="B748" s="1" t="str">
        <f t="shared" si="11"/>
        <v>02406911202</v>
      </c>
      <c r="C748" s="1" t="s">
        <v>13</v>
      </c>
      <c r="D748" s="1" t="s">
        <v>186</v>
      </c>
      <c r="E748" s="1" t="s">
        <v>924</v>
      </c>
      <c r="F748" s="1" t="s">
        <v>158</v>
      </c>
      <c r="G748" s="1" t="str">
        <f>"80059350159"</f>
        <v>80059350159</v>
      </c>
      <c r="I748" s="1" t="s">
        <v>925</v>
      </c>
      <c r="L748" s="1" t="s">
        <v>43</v>
      </c>
      <c r="M748" s="1">
        <v>1185</v>
      </c>
      <c r="AG748" s="1">
        <v>1185</v>
      </c>
      <c r="AH748" s="2">
        <v>45124</v>
      </c>
      <c r="AI748" s="2">
        <v>45291</v>
      </c>
      <c r="AJ748" s="2">
        <v>45124</v>
      </c>
    </row>
    <row r="749" spans="1:36">
      <c r="A749" s="1" t="str">
        <f>"Z783C71F0E"</f>
        <v>Z783C71F0E</v>
      </c>
      <c r="B749" s="1" t="str">
        <f t="shared" si="11"/>
        <v>02406911202</v>
      </c>
      <c r="C749" s="1" t="s">
        <v>13</v>
      </c>
      <c r="D749" s="1" t="s">
        <v>186</v>
      </c>
      <c r="E749" s="1" t="s">
        <v>926</v>
      </c>
      <c r="F749" s="1" t="s">
        <v>158</v>
      </c>
      <c r="G749" s="1" t="str">
        <f>"00667690044"</f>
        <v>00667690044</v>
      </c>
      <c r="I749" s="1" t="s">
        <v>442</v>
      </c>
      <c r="L749" s="1" t="s">
        <v>43</v>
      </c>
      <c r="M749" s="1">
        <v>4999</v>
      </c>
      <c r="AG749" s="1">
        <v>1443.73</v>
      </c>
      <c r="AH749" s="2">
        <v>45182</v>
      </c>
      <c r="AI749" s="2">
        <v>45230</v>
      </c>
      <c r="AJ749" s="2">
        <v>45182</v>
      </c>
    </row>
    <row r="750" spans="1:36">
      <c r="A750" s="1" t="str">
        <f>"ZE63C72336"</f>
        <v>ZE63C72336</v>
      </c>
      <c r="B750" s="1" t="str">
        <f t="shared" si="11"/>
        <v>02406911202</v>
      </c>
      <c r="C750" s="1" t="s">
        <v>13</v>
      </c>
      <c r="D750" s="1" t="s">
        <v>186</v>
      </c>
      <c r="E750" s="1" t="s">
        <v>927</v>
      </c>
      <c r="F750" s="1" t="s">
        <v>158</v>
      </c>
      <c r="G750" s="1" t="str">
        <f>"02108001203"</f>
        <v>02108001203</v>
      </c>
      <c r="I750" s="1" t="s">
        <v>928</v>
      </c>
      <c r="L750" s="1" t="s">
        <v>43</v>
      </c>
      <c r="M750" s="1">
        <v>4990</v>
      </c>
      <c r="AG750" s="1">
        <v>0</v>
      </c>
      <c r="AH750" s="2">
        <v>45182</v>
      </c>
      <c r="AI750" s="2">
        <v>45291</v>
      </c>
      <c r="AJ750" s="2">
        <v>45182</v>
      </c>
    </row>
    <row r="751" spans="1:36">
      <c r="A751" s="1" t="str">
        <f>"Z1A3C02D9F"</f>
        <v>Z1A3C02D9F</v>
      </c>
      <c r="B751" s="1" t="str">
        <f t="shared" si="11"/>
        <v>02406911202</v>
      </c>
      <c r="C751" s="1" t="s">
        <v>13</v>
      </c>
      <c r="D751" s="1" t="s">
        <v>186</v>
      </c>
      <c r="E751" s="1" t="s">
        <v>929</v>
      </c>
      <c r="F751" s="1" t="s">
        <v>158</v>
      </c>
      <c r="G751" s="1" t="str">
        <f>"00960900371"</f>
        <v>00960900371</v>
      </c>
      <c r="I751" s="1" t="s">
        <v>930</v>
      </c>
      <c r="L751" s="1" t="s">
        <v>43</v>
      </c>
      <c r="M751" s="1">
        <v>4999</v>
      </c>
      <c r="AG751" s="1">
        <v>0</v>
      </c>
      <c r="AH751" s="2">
        <v>45139</v>
      </c>
      <c r="AI751" s="2">
        <v>45657</v>
      </c>
      <c r="AJ751" s="2">
        <v>45139</v>
      </c>
    </row>
    <row r="752" spans="1:36">
      <c r="A752" s="1" t="str">
        <f>"Z733C5E4F0"</f>
        <v>Z733C5E4F0</v>
      </c>
      <c r="B752" s="1" t="str">
        <f t="shared" si="11"/>
        <v>02406911202</v>
      </c>
      <c r="C752" s="1" t="s">
        <v>13</v>
      </c>
      <c r="D752" s="1" t="s">
        <v>177</v>
      </c>
      <c r="E752" s="1" t="s">
        <v>931</v>
      </c>
      <c r="F752" s="1" t="s">
        <v>158</v>
      </c>
      <c r="G752" s="1" t="str">
        <f>"00372995573"</f>
        <v>00372995573</v>
      </c>
      <c r="I752" s="1" t="s">
        <v>932</v>
      </c>
      <c r="L752" s="1" t="s">
        <v>43</v>
      </c>
      <c r="M752" s="1">
        <v>2426.2199999999998</v>
      </c>
      <c r="AG752" s="1">
        <v>0</v>
      </c>
      <c r="AH752" s="2">
        <v>45175</v>
      </c>
      <c r="AI752" s="2">
        <v>45291</v>
      </c>
      <c r="AJ752" s="2">
        <v>45175</v>
      </c>
    </row>
    <row r="753" spans="1:36">
      <c r="A753" s="1" t="str">
        <f>"Z3C3C618C9"</f>
        <v>Z3C3C618C9</v>
      </c>
      <c r="B753" s="1" t="str">
        <f t="shared" si="11"/>
        <v>02406911202</v>
      </c>
      <c r="C753" s="1" t="s">
        <v>13</v>
      </c>
      <c r="D753" s="1" t="s">
        <v>180</v>
      </c>
      <c r="E753" s="1" t="s">
        <v>933</v>
      </c>
      <c r="F753" s="1" t="s">
        <v>158</v>
      </c>
      <c r="G753" s="1" t="str">
        <f>"00972790109"</f>
        <v>00972790109</v>
      </c>
      <c r="I753" s="1" t="s">
        <v>934</v>
      </c>
      <c r="L753" s="1" t="s">
        <v>43</v>
      </c>
      <c r="M753" s="1">
        <v>6000</v>
      </c>
      <c r="AG753" s="1">
        <v>6532.64</v>
      </c>
      <c r="AH753" s="2">
        <v>45176</v>
      </c>
      <c r="AI753" s="2">
        <v>45291</v>
      </c>
      <c r="AJ753" s="2">
        <v>45176</v>
      </c>
    </row>
    <row r="754" spans="1:36">
      <c r="A754" s="1" t="str">
        <f>"Z9E3C6381A"</f>
        <v>Z9E3C6381A</v>
      </c>
      <c r="B754" s="1" t="str">
        <f t="shared" si="11"/>
        <v>02406911202</v>
      </c>
      <c r="C754" s="1" t="s">
        <v>13</v>
      </c>
      <c r="D754" s="1" t="s">
        <v>264</v>
      </c>
      <c r="E754" s="1" t="s">
        <v>935</v>
      </c>
      <c r="F754" s="1" t="s">
        <v>158</v>
      </c>
      <c r="G754" s="1" t="str">
        <f>"08693440151"</f>
        <v>08693440151</v>
      </c>
      <c r="I754" s="1" t="s">
        <v>936</v>
      </c>
      <c r="L754" s="1" t="s">
        <v>43</v>
      </c>
      <c r="M754" s="1">
        <v>500</v>
      </c>
      <c r="AG754" s="1">
        <v>100</v>
      </c>
      <c r="AH754" s="2">
        <v>45177</v>
      </c>
      <c r="AI754" s="2">
        <v>45291</v>
      </c>
      <c r="AJ754" s="2">
        <v>45177</v>
      </c>
    </row>
    <row r="755" spans="1:36">
      <c r="A755" s="1" t="str">
        <f>"ZE23C639C3"</f>
        <v>ZE23C639C3</v>
      </c>
      <c r="B755" s="1" t="str">
        <f t="shared" si="11"/>
        <v>02406911202</v>
      </c>
      <c r="C755" s="1" t="s">
        <v>13</v>
      </c>
      <c r="D755" s="1" t="s">
        <v>180</v>
      </c>
      <c r="E755" s="1" t="s">
        <v>181</v>
      </c>
      <c r="F755" s="1" t="s">
        <v>158</v>
      </c>
      <c r="G755" s="1" t="str">
        <f>"02130320035"</f>
        <v>02130320035</v>
      </c>
      <c r="I755" s="1" t="s">
        <v>367</v>
      </c>
      <c r="L755" s="1" t="s">
        <v>43</v>
      </c>
      <c r="M755" s="1">
        <v>6000</v>
      </c>
      <c r="AG755" s="1">
        <v>6000</v>
      </c>
      <c r="AH755" s="2">
        <v>45177</v>
      </c>
      <c r="AI755" s="2">
        <v>45291</v>
      </c>
      <c r="AJ755" s="2">
        <v>45177</v>
      </c>
    </row>
    <row r="756" spans="1:36">
      <c r="A756" s="1" t="str">
        <f>"Z753C7804B"</f>
        <v>Z753C7804B</v>
      </c>
      <c r="B756" s="1" t="str">
        <f t="shared" si="11"/>
        <v>02406911202</v>
      </c>
      <c r="C756" s="1" t="s">
        <v>13</v>
      </c>
      <c r="D756" s="1" t="s">
        <v>264</v>
      </c>
      <c r="E756" s="1" t="s">
        <v>937</v>
      </c>
      <c r="F756" s="1" t="s">
        <v>158</v>
      </c>
      <c r="G756" s="1" t="str">
        <f>"11360920968"</f>
        <v>11360920968</v>
      </c>
      <c r="I756" s="1" t="s">
        <v>938</v>
      </c>
      <c r="L756" s="1" t="s">
        <v>43</v>
      </c>
      <c r="M756" s="1">
        <v>39539.49</v>
      </c>
      <c r="AG756" s="1">
        <v>0</v>
      </c>
      <c r="AH756" s="2">
        <v>45184</v>
      </c>
      <c r="AI756" s="2">
        <v>45291</v>
      </c>
      <c r="AJ756" s="2">
        <v>45184</v>
      </c>
    </row>
    <row r="757" spans="1:36">
      <c r="A757" s="1" t="str">
        <f>"Z8C3C44031"</f>
        <v>Z8C3C44031</v>
      </c>
      <c r="B757" s="1" t="str">
        <f t="shared" si="11"/>
        <v>02406911202</v>
      </c>
      <c r="C757" s="1" t="s">
        <v>13</v>
      </c>
      <c r="D757" s="1" t="s">
        <v>186</v>
      </c>
      <c r="E757" s="1" t="s">
        <v>939</v>
      </c>
      <c r="F757" s="1" t="s">
        <v>158</v>
      </c>
      <c r="G757" s="1" t="str">
        <f>"01498810280"</f>
        <v>01498810280</v>
      </c>
      <c r="I757" s="1" t="s">
        <v>752</v>
      </c>
      <c r="L757" s="1" t="s">
        <v>43</v>
      </c>
      <c r="M757" s="1">
        <v>16911</v>
      </c>
      <c r="AG757" s="1">
        <v>0</v>
      </c>
      <c r="AH757" s="2">
        <v>45184</v>
      </c>
      <c r="AI757" s="2">
        <v>45291</v>
      </c>
      <c r="AJ757" s="2">
        <v>45184</v>
      </c>
    </row>
    <row r="758" spans="1:36">
      <c r="A758" s="1" t="str">
        <f>"Z5A3BD9B54"</f>
        <v>Z5A3BD9B54</v>
      </c>
      <c r="B758" s="1" t="str">
        <f t="shared" si="11"/>
        <v>02406911202</v>
      </c>
      <c r="C758" s="1" t="s">
        <v>13</v>
      </c>
      <c r="D758" s="1" t="s">
        <v>186</v>
      </c>
      <c r="E758" s="1" t="s">
        <v>940</v>
      </c>
      <c r="F758" s="1" t="s">
        <v>158</v>
      </c>
      <c r="G758" s="1" t="str">
        <f>"01835220482"</f>
        <v>01835220482</v>
      </c>
      <c r="I758" s="1" t="s">
        <v>531</v>
      </c>
      <c r="L758" s="1" t="s">
        <v>43</v>
      </c>
      <c r="M758" s="1">
        <v>4999</v>
      </c>
      <c r="AG758" s="1">
        <v>2651</v>
      </c>
      <c r="AH758" s="2">
        <v>45118</v>
      </c>
      <c r="AI758" s="2">
        <v>45322</v>
      </c>
      <c r="AJ758" s="2">
        <v>45118</v>
      </c>
    </row>
    <row r="759" spans="1:36">
      <c r="A759" s="1" t="str">
        <f>"ZA63C165E3"</f>
        <v>ZA63C165E3</v>
      </c>
      <c r="B759" s="1" t="str">
        <f t="shared" si="11"/>
        <v>02406911202</v>
      </c>
      <c r="C759" s="1" t="s">
        <v>13</v>
      </c>
      <c r="D759" s="1" t="s">
        <v>180</v>
      </c>
      <c r="E759" s="1" t="s">
        <v>296</v>
      </c>
      <c r="F759" s="1" t="s">
        <v>158</v>
      </c>
      <c r="G759" s="1" t="str">
        <f>"12693140159"</f>
        <v>12693140159</v>
      </c>
      <c r="I759" s="1" t="s">
        <v>310</v>
      </c>
      <c r="L759" s="1" t="s">
        <v>43</v>
      </c>
      <c r="M759" s="1">
        <v>5000</v>
      </c>
      <c r="AG759" s="1">
        <v>4560</v>
      </c>
      <c r="AH759" s="2">
        <v>45139</v>
      </c>
      <c r="AI759" s="2">
        <v>45291</v>
      </c>
      <c r="AJ759" s="2">
        <v>45139</v>
      </c>
    </row>
    <row r="760" spans="1:36">
      <c r="A760" s="1" t="str">
        <f>"Z153C14F79"</f>
        <v>Z153C14F79</v>
      </c>
      <c r="B760" s="1" t="str">
        <f t="shared" si="11"/>
        <v>02406911202</v>
      </c>
      <c r="C760" s="1" t="s">
        <v>13</v>
      </c>
      <c r="D760" s="1" t="s">
        <v>177</v>
      </c>
      <c r="E760" s="1" t="s">
        <v>941</v>
      </c>
      <c r="F760" s="1" t="s">
        <v>158</v>
      </c>
      <c r="G760" s="1" t="str">
        <f>"04144000371"</f>
        <v>04144000371</v>
      </c>
      <c r="I760" s="1" t="s">
        <v>256</v>
      </c>
      <c r="L760" s="1" t="s">
        <v>43</v>
      </c>
      <c r="M760" s="1">
        <v>234978</v>
      </c>
      <c r="AG760" s="1">
        <v>27884.68</v>
      </c>
      <c r="AH760" s="2">
        <v>45108</v>
      </c>
      <c r="AI760" s="2">
        <v>45657</v>
      </c>
      <c r="AJ760" s="2">
        <v>45108</v>
      </c>
    </row>
    <row r="761" spans="1:36">
      <c r="A761" s="1" t="str">
        <f>"ZD43C16299"</f>
        <v>ZD43C16299</v>
      </c>
      <c r="B761" s="1" t="str">
        <f t="shared" si="11"/>
        <v>02406911202</v>
      </c>
      <c r="C761" s="1" t="s">
        <v>13</v>
      </c>
      <c r="D761" s="1" t="s">
        <v>177</v>
      </c>
      <c r="E761" s="1" t="s">
        <v>942</v>
      </c>
      <c r="F761" s="1" t="s">
        <v>158</v>
      </c>
      <c r="G761" s="1" t="str">
        <f>"04140790371"</f>
        <v>04140790371</v>
      </c>
      <c r="I761" s="1" t="s">
        <v>943</v>
      </c>
      <c r="L761" s="1" t="s">
        <v>43</v>
      </c>
      <c r="M761" s="1">
        <v>1280556</v>
      </c>
      <c r="AG761" s="1">
        <v>77574.080000000002</v>
      </c>
      <c r="AH761" s="2">
        <v>45108</v>
      </c>
      <c r="AI761" s="2">
        <v>45657</v>
      </c>
      <c r="AJ761" s="2">
        <v>45108</v>
      </c>
    </row>
    <row r="762" spans="1:36">
      <c r="A762" s="1" t="str">
        <f>"Z413C16719"</f>
        <v>Z413C16719</v>
      </c>
      <c r="B762" s="1" t="str">
        <f t="shared" si="11"/>
        <v>02406911202</v>
      </c>
      <c r="C762" s="1" t="s">
        <v>13</v>
      </c>
      <c r="D762" s="1" t="s">
        <v>177</v>
      </c>
      <c r="E762" s="1" t="s">
        <v>944</v>
      </c>
      <c r="F762" s="1" t="s">
        <v>158</v>
      </c>
      <c r="G762" s="1" t="str">
        <f>"91362080375"</f>
        <v>91362080375</v>
      </c>
      <c r="I762" s="1" t="s">
        <v>571</v>
      </c>
      <c r="L762" s="1" t="s">
        <v>43</v>
      </c>
      <c r="M762" s="1">
        <v>1088900</v>
      </c>
      <c r="AG762" s="1">
        <v>64408.31</v>
      </c>
      <c r="AH762" s="2">
        <v>45108</v>
      </c>
      <c r="AI762" s="2">
        <v>45657</v>
      </c>
      <c r="AJ762" s="2">
        <v>45108</v>
      </c>
    </row>
    <row r="763" spans="1:36">
      <c r="A763" s="1" t="str">
        <f>"ZBF3BD2185"</f>
        <v>ZBF3BD2185</v>
      </c>
      <c r="B763" s="1" t="str">
        <f t="shared" si="11"/>
        <v>02406911202</v>
      </c>
      <c r="C763" s="1" t="s">
        <v>13</v>
      </c>
      <c r="D763" s="1" t="s">
        <v>264</v>
      </c>
      <c r="E763" s="1" t="s">
        <v>945</v>
      </c>
      <c r="F763" s="1" t="s">
        <v>158</v>
      </c>
      <c r="G763" s="1" t="str">
        <f>"02373581202"</f>
        <v>02373581202</v>
      </c>
      <c r="I763" s="1" t="s">
        <v>783</v>
      </c>
      <c r="L763" s="1" t="s">
        <v>43</v>
      </c>
      <c r="M763" s="1">
        <v>5939.76</v>
      </c>
      <c r="AG763" s="1">
        <v>1979.92</v>
      </c>
      <c r="AH763" s="2">
        <v>45113</v>
      </c>
      <c r="AI763" s="2">
        <v>45913</v>
      </c>
      <c r="AJ763" s="2">
        <v>45113</v>
      </c>
    </row>
    <row r="764" spans="1:36">
      <c r="A764" s="1" t="str">
        <f>"ZBF3BD2185"</f>
        <v>ZBF3BD2185</v>
      </c>
      <c r="B764" s="1" t="str">
        <f t="shared" si="11"/>
        <v>02406911202</v>
      </c>
      <c r="C764" s="1" t="s">
        <v>13</v>
      </c>
      <c r="D764" s="1" t="s">
        <v>264</v>
      </c>
      <c r="E764" s="1" t="s">
        <v>945</v>
      </c>
      <c r="F764" s="1" t="s">
        <v>158</v>
      </c>
      <c r="G764" s="1" t="str">
        <f>"11703230158"</f>
        <v>11703230158</v>
      </c>
      <c r="I764" s="1" t="s">
        <v>946</v>
      </c>
      <c r="L764" s="1" t="s">
        <v>100</v>
      </c>
      <c r="AJ764" s="2">
        <v>45113</v>
      </c>
    </row>
    <row r="765" spans="1:36">
      <c r="A765" s="1" t="str">
        <f>"ZA13BD2147"</f>
        <v>ZA13BD2147</v>
      </c>
      <c r="B765" s="1" t="str">
        <f t="shared" si="11"/>
        <v>02406911202</v>
      </c>
      <c r="C765" s="1" t="s">
        <v>13</v>
      </c>
      <c r="D765" s="1" t="s">
        <v>264</v>
      </c>
      <c r="E765" s="1" t="s">
        <v>947</v>
      </c>
      <c r="F765" s="1" t="s">
        <v>158</v>
      </c>
      <c r="G765" s="1" t="str">
        <f>"00098590219"</f>
        <v>00098590219</v>
      </c>
      <c r="I765" s="1" t="s">
        <v>948</v>
      </c>
      <c r="L765" s="1" t="s">
        <v>43</v>
      </c>
      <c r="M765" s="1">
        <v>26189.52</v>
      </c>
      <c r="AG765" s="1">
        <v>0</v>
      </c>
      <c r="AH765" s="2">
        <v>45113</v>
      </c>
      <c r="AI765" s="2">
        <v>45905</v>
      </c>
      <c r="AJ765" s="2">
        <v>45113</v>
      </c>
    </row>
    <row r="766" spans="1:36">
      <c r="A766" s="1" t="str">
        <f>"ZA13BD2147"</f>
        <v>ZA13BD2147</v>
      </c>
      <c r="B766" s="1" t="str">
        <f t="shared" si="11"/>
        <v>02406911202</v>
      </c>
      <c r="C766" s="1" t="s">
        <v>13</v>
      </c>
      <c r="D766" s="1" t="s">
        <v>264</v>
      </c>
      <c r="E766" s="1" t="s">
        <v>947</v>
      </c>
      <c r="F766" s="1" t="s">
        <v>158</v>
      </c>
      <c r="G766" s="1" t="str">
        <f>"07947760158"</f>
        <v>07947760158</v>
      </c>
      <c r="I766" s="1" t="s">
        <v>949</v>
      </c>
      <c r="L766" s="1" t="s">
        <v>100</v>
      </c>
      <c r="AJ766" s="2">
        <v>45113</v>
      </c>
    </row>
    <row r="767" spans="1:36">
      <c r="A767" s="1" t="str">
        <f>"ZA23BE0213"</f>
        <v>ZA23BE0213</v>
      </c>
      <c r="B767" s="1" t="str">
        <f t="shared" si="11"/>
        <v>02406911202</v>
      </c>
      <c r="C767" s="1" t="s">
        <v>13</v>
      </c>
      <c r="D767" s="1" t="s">
        <v>180</v>
      </c>
      <c r="E767" s="1" t="s">
        <v>181</v>
      </c>
      <c r="F767" s="1" t="s">
        <v>158</v>
      </c>
      <c r="G767" s="1" t="str">
        <f>"00674840152"</f>
        <v>00674840152</v>
      </c>
      <c r="I767" s="1" t="s">
        <v>87</v>
      </c>
      <c r="L767" s="1" t="s">
        <v>43</v>
      </c>
      <c r="M767" s="1">
        <v>6000</v>
      </c>
      <c r="AG767" s="1">
        <v>4488.7</v>
      </c>
      <c r="AH767" s="2">
        <v>45120</v>
      </c>
      <c r="AI767" s="2">
        <v>45291</v>
      </c>
      <c r="AJ767" s="2">
        <v>45120</v>
      </c>
    </row>
    <row r="768" spans="1:36">
      <c r="A768" s="1" t="str">
        <f>"9961356305"</f>
        <v>9961356305</v>
      </c>
      <c r="B768" s="1" t="str">
        <f t="shared" si="11"/>
        <v>02406911202</v>
      </c>
      <c r="C768" s="1" t="s">
        <v>13</v>
      </c>
      <c r="D768" s="1" t="s">
        <v>167</v>
      </c>
      <c r="E768" s="1" t="s">
        <v>950</v>
      </c>
      <c r="F768" s="1" t="s">
        <v>151</v>
      </c>
      <c r="G768" s="1" t="str">
        <f>"08082461008"</f>
        <v>08082461008</v>
      </c>
      <c r="I768" s="1" t="s">
        <v>88</v>
      </c>
      <c r="L768" s="1" t="s">
        <v>43</v>
      </c>
      <c r="M768" s="1">
        <v>77015.039999999994</v>
      </c>
      <c r="AG768" s="1">
        <v>293.04000000000002</v>
      </c>
      <c r="AH768" s="2">
        <v>45126</v>
      </c>
      <c r="AI768" s="2">
        <v>45856</v>
      </c>
      <c r="AJ768" s="2">
        <v>45126</v>
      </c>
    </row>
    <row r="769" spans="1:36">
      <c r="A769" s="1" t="str">
        <f>"9962763C1A"</f>
        <v>9962763C1A</v>
      </c>
      <c r="B769" s="1" t="str">
        <f t="shared" si="11"/>
        <v>02406911202</v>
      </c>
      <c r="C769" s="1" t="s">
        <v>13</v>
      </c>
      <c r="D769" s="1" t="s">
        <v>167</v>
      </c>
      <c r="E769" s="1" t="s">
        <v>951</v>
      </c>
      <c r="F769" s="1" t="s">
        <v>151</v>
      </c>
      <c r="G769" s="1" t="str">
        <f>"09238800156"</f>
        <v>09238800156</v>
      </c>
      <c r="I769" s="1" t="s">
        <v>92</v>
      </c>
      <c r="L769" s="1" t="s">
        <v>43</v>
      </c>
      <c r="M769" s="1">
        <v>25003.7</v>
      </c>
      <c r="AG769" s="1">
        <v>0</v>
      </c>
      <c r="AH769" s="2">
        <v>45126</v>
      </c>
      <c r="AI769" s="2">
        <v>45856</v>
      </c>
      <c r="AJ769" s="2">
        <v>45126</v>
      </c>
    </row>
    <row r="770" spans="1:36">
      <c r="A770" s="1" t="str">
        <f>"9962845FC4"</f>
        <v>9962845FC4</v>
      </c>
      <c r="B770" s="1" t="str">
        <f t="shared" ref="B770:B833" si="12">"02406911202"</f>
        <v>02406911202</v>
      </c>
      <c r="C770" s="1" t="s">
        <v>13</v>
      </c>
      <c r="D770" s="1" t="s">
        <v>167</v>
      </c>
      <c r="E770" s="1" t="s">
        <v>952</v>
      </c>
      <c r="F770" s="1" t="s">
        <v>151</v>
      </c>
      <c r="G770" s="1" t="str">
        <f>"00674840152"</f>
        <v>00674840152</v>
      </c>
      <c r="I770" s="1" t="s">
        <v>87</v>
      </c>
      <c r="L770" s="1" t="s">
        <v>43</v>
      </c>
      <c r="M770" s="1">
        <v>46812.67</v>
      </c>
      <c r="AG770" s="1">
        <v>0</v>
      </c>
      <c r="AH770" s="2">
        <v>45126</v>
      </c>
      <c r="AI770" s="2">
        <v>45856</v>
      </c>
      <c r="AJ770" s="2">
        <v>45126</v>
      </c>
    </row>
    <row r="771" spans="1:36">
      <c r="A771" s="1" t="str">
        <f>"99628969DC"</f>
        <v>99628969DC</v>
      </c>
      <c r="B771" s="1" t="str">
        <f t="shared" si="12"/>
        <v>02406911202</v>
      </c>
      <c r="C771" s="1" t="s">
        <v>13</v>
      </c>
      <c r="D771" s="1" t="s">
        <v>167</v>
      </c>
      <c r="E771" s="1" t="s">
        <v>953</v>
      </c>
      <c r="F771" s="1" t="s">
        <v>151</v>
      </c>
      <c r="G771" s="1" t="str">
        <f>"08082461008"</f>
        <v>08082461008</v>
      </c>
      <c r="I771" s="1" t="s">
        <v>88</v>
      </c>
      <c r="L771" s="1" t="s">
        <v>43</v>
      </c>
      <c r="M771" s="1">
        <v>83406.7</v>
      </c>
      <c r="AG771" s="1">
        <v>0</v>
      </c>
      <c r="AH771" s="2">
        <v>45126</v>
      </c>
      <c r="AI771" s="2">
        <v>45856</v>
      </c>
      <c r="AJ771" s="2">
        <v>45126</v>
      </c>
    </row>
    <row r="772" spans="1:36">
      <c r="A772" s="1" t="str">
        <f>"9962938C84"</f>
        <v>9962938C84</v>
      </c>
      <c r="B772" s="1" t="str">
        <f t="shared" si="12"/>
        <v>02406911202</v>
      </c>
      <c r="C772" s="1" t="s">
        <v>13</v>
      </c>
      <c r="D772" s="1" t="s">
        <v>167</v>
      </c>
      <c r="E772" s="1" t="s">
        <v>954</v>
      </c>
      <c r="F772" s="1" t="s">
        <v>151</v>
      </c>
      <c r="G772" s="1" t="str">
        <f>"08082461008"</f>
        <v>08082461008</v>
      </c>
      <c r="I772" s="1" t="s">
        <v>88</v>
      </c>
      <c r="L772" s="1" t="s">
        <v>43</v>
      </c>
      <c r="M772" s="1">
        <v>78689.88</v>
      </c>
      <c r="AG772" s="1">
        <v>0</v>
      </c>
      <c r="AH772" s="2">
        <v>45126</v>
      </c>
      <c r="AI772" s="2">
        <v>45856</v>
      </c>
      <c r="AJ772" s="2">
        <v>45126</v>
      </c>
    </row>
    <row r="773" spans="1:36">
      <c r="A773" s="1" t="str">
        <f>"Z163C016F9"</f>
        <v>Z163C016F9</v>
      </c>
      <c r="B773" s="1" t="str">
        <f t="shared" si="12"/>
        <v>02406911202</v>
      </c>
      <c r="C773" s="1" t="s">
        <v>13</v>
      </c>
      <c r="D773" s="1" t="s">
        <v>186</v>
      </c>
      <c r="E773" s="1" t="s">
        <v>955</v>
      </c>
      <c r="F773" s="1" t="s">
        <v>158</v>
      </c>
      <c r="G773" s="1" t="str">
        <f>"12300580151"</f>
        <v>12300580151</v>
      </c>
      <c r="I773" s="1" t="s">
        <v>297</v>
      </c>
      <c r="L773" s="1" t="s">
        <v>43</v>
      </c>
      <c r="M773" s="1">
        <v>4999</v>
      </c>
      <c r="AG773" s="1">
        <v>2400</v>
      </c>
      <c r="AH773" s="2">
        <v>45132</v>
      </c>
      <c r="AI773" s="2">
        <v>46022</v>
      </c>
      <c r="AJ773" s="2">
        <v>45132</v>
      </c>
    </row>
    <row r="774" spans="1:36">
      <c r="A774" s="1" t="str">
        <f>"Z703C03FE6"</f>
        <v>Z703C03FE6</v>
      </c>
      <c r="B774" s="1" t="str">
        <f t="shared" si="12"/>
        <v>02406911202</v>
      </c>
      <c r="C774" s="1" t="s">
        <v>13</v>
      </c>
      <c r="D774" s="1" t="s">
        <v>180</v>
      </c>
      <c r="E774" s="1" t="s">
        <v>296</v>
      </c>
      <c r="F774" s="1" t="s">
        <v>158</v>
      </c>
      <c r="G774" s="1" t="str">
        <f>"11575580151"</f>
        <v>11575580151</v>
      </c>
      <c r="I774" s="1" t="s">
        <v>127</v>
      </c>
      <c r="L774" s="1" t="s">
        <v>43</v>
      </c>
      <c r="M774" s="1">
        <v>5000</v>
      </c>
      <c r="AG774" s="1">
        <v>5400</v>
      </c>
      <c r="AH774" s="2">
        <v>45132</v>
      </c>
      <c r="AI774" s="2">
        <v>45291</v>
      </c>
      <c r="AJ774" s="2">
        <v>45132</v>
      </c>
    </row>
    <row r="775" spans="1:36">
      <c r="A775" s="1" t="str">
        <f>"Z463C4C54C"</f>
        <v>Z463C4C54C</v>
      </c>
      <c r="B775" s="1" t="str">
        <f t="shared" si="12"/>
        <v>02406911202</v>
      </c>
      <c r="C775" s="1" t="s">
        <v>13</v>
      </c>
      <c r="D775" s="1" t="s">
        <v>164</v>
      </c>
      <c r="E775" s="1" t="s">
        <v>956</v>
      </c>
      <c r="F775" s="1" t="s">
        <v>158</v>
      </c>
      <c r="G775" s="1" t="str">
        <f>"05231661009"</f>
        <v>05231661009</v>
      </c>
      <c r="I775" s="1" t="s">
        <v>957</v>
      </c>
      <c r="L775" s="1" t="s">
        <v>43</v>
      </c>
      <c r="M775" s="1">
        <v>210</v>
      </c>
      <c r="AG775" s="1">
        <v>210</v>
      </c>
      <c r="AH775" s="2">
        <v>45168</v>
      </c>
      <c r="AI775" s="2">
        <v>45291</v>
      </c>
      <c r="AJ775" s="2">
        <v>45168</v>
      </c>
    </row>
    <row r="776" spans="1:36">
      <c r="A776" s="1" t="str">
        <f>"Z413C7CB80"</f>
        <v>Z413C7CB80</v>
      </c>
      <c r="B776" s="1" t="str">
        <f t="shared" si="12"/>
        <v>02406911202</v>
      </c>
      <c r="C776" s="1" t="s">
        <v>13</v>
      </c>
      <c r="D776" s="1" t="s">
        <v>264</v>
      </c>
      <c r="E776" s="1" t="s">
        <v>958</v>
      </c>
      <c r="F776" s="1" t="s">
        <v>158</v>
      </c>
      <c r="G776" s="1" t="str">
        <f>"03797420969"</f>
        <v>03797420969</v>
      </c>
      <c r="I776" s="1" t="s">
        <v>959</v>
      </c>
      <c r="L776" s="1" t="s">
        <v>43</v>
      </c>
      <c r="M776" s="1">
        <v>2000</v>
      </c>
      <c r="AG776" s="1">
        <v>211</v>
      </c>
      <c r="AH776" s="2">
        <v>45187</v>
      </c>
      <c r="AI776" s="2">
        <v>45291</v>
      </c>
      <c r="AJ776" s="2">
        <v>45187</v>
      </c>
    </row>
    <row r="777" spans="1:36">
      <c r="A777" s="1" t="str">
        <f>"ZB73C8B934"</f>
        <v>ZB73C8B934</v>
      </c>
      <c r="B777" s="1" t="str">
        <f t="shared" si="12"/>
        <v>02406911202</v>
      </c>
      <c r="C777" s="1" t="s">
        <v>13</v>
      </c>
      <c r="D777" s="1" t="s">
        <v>180</v>
      </c>
      <c r="E777" s="1" t="s">
        <v>281</v>
      </c>
      <c r="F777" s="1" t="s">
        <v>158</v>
      </c>
      <c r="G777" s="1" t="str">
        <f>"02348611209"</f>
        <v>02348611209</v>
      </c>
      <c r="I777" s="1" t="s">
        <v>306</v>
      </c>
      <c r="L777" s="1" t="s">
        <v>43</v>
      </c>
      <c r="M777" s="1">
        <v>5000</v>
      </c>
      <c r="AG777" s="1">
        <v>4400</v>
      </c>
      <c r="AH777" s="2">
        <v>45190</v>
      </c>
      <c r="AI777" s="2">
        <v>45291</v>
      </c>
      <c r="AJ777" s="2">
        <v>45190</v>
      </c>
    </row>
    <row r="778" spans="1:36">
      <c r="A778" s="1" t="str">
        <f>"Z783C8B5F3"</f>
        <v>Z783C8B5F3</v>
      </c>
      <c r="B778" s="1" t="str">
        <f t="shared" si="12"/>
        <v>02406911202</v>
      </c>
      <c r="C778" s="1" t="s">
        <v>13</v>
      </c>
      <c r="D778" s="1" t="s">
        <v>180</v>
      </c>
      <c r="E778" s="1" t="s">
        <v>281</v>
      </c>
      <c r="F778" s="1" t="s">
        <v>158</v>
      </c>
      <c r="G778" s="1" t="str">
        <f>"07796530967"</f>
        <v>07796530967</v>
      </c>
      <c r="I778" s="1" t="s">
        <v>553</v>
      </c>
      <c r="L778" s="1" t="s">
        <v>43</v>
      </c>
      <c r="M778" s="1">
        <v>6000</v>
      </c>
      <c r="AG778" s="1">
        <v>5750.74</v>
      </c>
      <c r="AH778" s="2">
        <v>45190</v>
      </c>
      <c r="AI778" s="2">
        <v>45291</v>
      </c>
      <c r="AJ778" s="2">
        <v>45190</v>
      </c>
    </row>
    <row r="779" spans="1:36">
      <c r="A779" s="1" t="str">
        <f>"99316576A0"</f>
        <v>99316576A0</v>
      </c>
      <c r="B779" s="1" t="str">
        <f t="shared" si="12"/>
        <v>02406911202</v>
      </c>
      <c r="C779" s="1" t="s">
        <v>13</v>
      </c>
      <c r="D779" s="1" t="s">
        <v>186</v>
      </c>
      <c r="E779" s="1" t="s">
        <v>960</v>
      </c>
      <c r="F779" s="1" t="s">
        <v>158</v>
      </c>
      <c r="G779" s="1" t="str">
        <f>"08817300158"</f>
        <v>08817300158</v>
      </c>
      <c r="I779" s="1" t="s">
        <v>961</v>
      </c>
      <c r="L779" s="1" t="s">
        <v>43</v>
      </c>
      <c r="M779" s="1">
        <v>39733.96</v>
      </c>
      <c r="AG779" s="1">
        <v>9861.19</v>
      </c>
      <c r="AH779" s="2">
        <v>45118</v>
      </c>
      <c r="AI779" s="2">
        <v>45869</v>
      </c>
      <c r="AJ779" s="2">
        <v>45118</v>
      </c>
    </row>
    <row r="780" spans="1:36">
      <c r="A780" s="1" t="str">
        <f>"ZDC3BDC440"</f>
        <v>ZDC3BDC440</v>
      </c>
      <c r="B780" s="1" t="str">
        <f t="shared" si="12"/>
        <v>02406911202</v>
      </c>
      <c r="C780" s="1" t="s">
        <v>13</v>
      </c>
      <c r="D780" s="1" t="s">
        <v>180</v>
      </c>
      <c r="E780" s="1" t="s">
        <v>181</v>
      </c>
      <c r="F780" s="1" t="s">
        <v>158</v>
      </c>
      <c r="G780" s="1" t="str">
        <f>"00471770016"</f>
        <v>00471770016</v>
      </c>
      <c r="I780" s="1" t="s">
        <v>794</v>
      </c>
      <c r="L780" s="1" t="s">
        <v>43</v>
      </c>
      <c r="M780" s="1">
        <v>5000</v>
      </c>
      <c r="AG780" s="1">
        <v>3823.9</v>
      </c>
      <c r="AH780" s="2">
        <v>45119</v>
      </c>
      <c r="AI780" s="2">
        <v>45291</v>
      </c>
      <c r="AJ780" s="2">
        <v>45119</v>
      </c>
    </row>
    <row r="781" spans="1:36">
      <c r="A781" s="1" t="str">
        <f>"ZA83BE38A3"</f>
        <v>ZA83BE38A3</v>
      </c>
      <c r="B781" s="1" t="str">
        <f t="shared" si="12"/>
        <v>02406911202</v>
      </c>
      <c r="C781" s="1" t="s">
        <v>13</v>
      </c>
      <c r="D781" s="1" t="s">
        <v>180</v>
      </c>
      <c r="E781" s="1" t="s">
        <v>181</v>
      </c>
      <c r="F781" s="1" t="s">
        <v>158</v>
      </c>
      <c r="G781" s="1" t="str">
        <f>"12432150154"</f>
        <v>12432150154</v>
      </c>
      <c r="I781" s="1" t="s">
        <v>591</v>
      </c>
      <c r="L781" s="1" t="s">
        <v>43</v>
      </c>
      <c r="M781" s="1">
        <v>6000</v>
      </c>
      <c r="AG781" s="1">
        <v>4626.1099999999997</v>
      </c>
      <c r="AH781" s="2">
        <v>45121</v>
      </c>
      <c r="AI781" s="2">
        <v>45291</v>
      </c>
      <c r="AJ781" s="2">
        <v>45121</v>
      </c>
    </row>
    <row r="782" spans="1:36">
      <c r="A782" s="1" t="str">
        <f>"ZC13BEF5BE"</f>
        <v>ZC13BEF5BE</v>
      </c>
      <c r="B782" s="1" t="str">
        <f t="shared" si="12"/>
        <v>02406911202</v>
      </c>
      <c r="C782" s="1" t="s">
        <v>13</v>
      </c>
      <c r="D782" s="1" t="s">
        <v>186</v>
      </c>
      <c r="E782" s="1" t="s">
        <v>353</v>
      </c>
      <c r="F782" s="1" t="s">
        <v>158</v>
      </c>
      <c r="G782" s="1" t="str">
        <f>"01587801208"</f>
        <v>01587801208</v>
      </c>
      <c r="I782" s="1" t="s">
        <v>962</v>
      </c>
      <c r="L782" s="1" t="s">
        <v>43</v>
      </c>
      <c r="M782" s="1">
        <v>392</v>
      </c>
      <c r="AG782" s="1">
        <v>392</v>
      </c>
      <c r="AH782" s="2">
        <v>45108</v>
      </c>
      <c r="AI782" s="2">
        <v>45138</v>
      </c>
      <c r="AJ782" s="2">
        <v>45108</v>
      </c>
    </row>
    <row r="783" spans="1:36">
      <c r="A783" s="1" t="str">
        <f>"ZE33BEA8A0"</f>
        <v>ZE33BEA8A0</v>
      </c>
      <c r="B783" s="1" t="str">
        <f t="shared" si="12"/>
        <v>02406911202</v>
      </c>
      <c r="C783" s="1" t="s">
        <v>13</v>
      </c>
      <c r="D783" s="1" t="s">
        <v>177</v>
      </c>
      <c r="E783" s="1" t="s">
        <v>963</v>
      </c>
      <c r="F783" s="1" t="s">
        <v>158</v>
      </c>
      <c r="G783" s="1" t="str">
        <f>"01064580374"</f>
        <v>01064580374</v>
      </c>
      <c r="I783" s="1" t="s">
        <v>964</v>
      </c>
      <c r="L783" s="1" t="s">
        <v>43</v>
      </c>
      <c r="M783" s="1">
        <v>125550</v>
      </c>
      <c r="AG783" s="1">
        <v>27607.21</v>
      </c>
      <c r="AH783" s="2">
        <v>45108</v>
      </c>
      <c r="AI783" s="2">
        <v>45657</v>
      </c>
      <c r="AJ783" s="2">
        <v>45108</v>
      </c>
    </row>
    <row r="784" spans="1:36">
      <c r="A784" s="1" t="str">
        <f>"Z533BEA326"</f>
        <v>Z533BEA326</v>
      </c>
      <c r="B784" s="1" t="str">
        <f t="shared" si="12"/>
        <v>02406911202</v>
      </c>
      <c r="C784" s="1" t="s">
        <v>13</v>
      </c>
      <c r="D784" s="1" t="s">
        <v>177</v>
      </c>
      <c r="E784" s="1" t="s">
        <v>965</v>
      </c>
      <c r="F784" s="1" t="s">
        <v>158</v>
      </c>
      <c r="G784" s="1" t="str">
        <f>"04036430371"</f>
        <v>04036430371</v>
      </c>
      <c r="I784" s="1" t="s">
        <v>966</v>
      </c>
      <c r="L784" s="1" t="s">
        <v>43</v>
      </c>
      <c r="M784" s="1">
        <v>1245000</v>
      </c>
      <c r="AG784" s="1">
        <v>267082.40999999997</v>
      </c>
      <c r="AH784" s="2">
        <v>45108</v>
      </c>
      <c r="AI784" s="2">
        <v>45657</v>
      </c>
      <c r="AJ784" s="2">
        <v>45108</v>
      </c>
    </row>
    <row r="785" spans="1:36">
      <c r="A785" s="1" t="str">
        <f>"9959375040"</f>
        <v>9959375040</v>
      </c>
      <c r="B785" s="1" t="str">
        <f t="shared" si="12"/>
        <v>02406911202</v>
      </c>
      <c r="C785" s="1" t="s">
        <v>13</v>
      </c>
      <c r="D785" s="1" t="s">
        <v>186</v>
      </c>
      <c r="E785" s="1" t="s">
        <v>967</v>
      </c>
      <c r="F785" s="1" t="s">
        <v>158</v>
      </c>
      <c r="G785" s="1" t="str">
        <f>"11160660152"</f>
        <v>11160660152</v>
      </c>
      <c r="I785" s="1" t="s">
        <v>457</v>
      </c>
      <c r="L785" s="1" t="s">
        <v>43</v>
      </c>
      <c r="M785" s="1">
        <v>31499.8</v>
      </c>
      <c r="AG785" s="1">
        <v>12144.7</v>
      </c>
      <c r="AH785" s="2">
        <v>45131</v>
      </c>
      <c r="AI785" s="2">
        <v>45291</v>
      </c>
      <c r="AJ785" s="2">
        <v>45131</v>
      </c>
    </row>
    <row r="786" spans="1:36">
      <c r="A786" s="1" t="str">
        <f>"Z603C0EC12"</f>
        <v>Z603C0EC12</v>
      </c>
      <c r="B786" s="1" t="str">
        <f t="shared" si="12"/>
        <v>02406911202</v>
      </c>
      <c r="C786" s="1" t="s">
        <v>13</v>
      </c>
      <c r="D786" s="1" t="s">
        <v>180</v>
      </c>
      <c r="E786" s="1" t="s">
        <v>296</v>
      </c>
      <c r="F786" s="1" t="s">
        <v>158</v>
      </c>
      <c r="G786" s="1" t="str">
        <f>"02173550282"</f>
        <v>02173550282</v>
      </c>
      <c r="I786" s="1" t="s">
        <v>548</v>
      </c>
      <c r="L786" s="1" t="s">
        <v>43</v>
      </c>
      <c r="M786" s="1">
        <v>6000</v>
      </c>
      <c r="AG786" s="1">
        <v>5975.2</v>
      </c>
      <c r="AH786" s="2">
        <v>45135</v>
      </c>
      <c r="AI786" s="2">
        <v>45291</v>
      </c>
      <c r="AJ786" s="2">
        <v>45135</v>
      </c>
    </row>
    <row r="787" spans="1:36">
      <c r="A787" s="1" t="str">
        <f>"ZB03C04562"</f>
        <v>ZB03C04562</v>
      </c>
      <c r="B787" s="1" t="str">
        <f t="shared" si="12"/>
        <v>02406911202</v>
      </c>
      <c r="C787" s="1" t="s">
        <v>13</v>
      </c>
      <c r="D787" s="1" t="s">
        <v>180</v>
      </c>
      <c r="E787" s="1" t="s">
        <v>220</v>
      </c>
      <c r="F787" s="1" t="s">
        <v>158</v>
      </c>
      <c r="G787" s="1" t="str">
        <f>"02129190373"</f>
        <v>02129190373</v>
      </c>
      <c r="I787" s="1" t="s">
        <v>968</v>
      </c>
      <c r="L787" s="1" t="s">
        <v>43</v>
      </c>
      <c r="M787" s="1">
        <v>5000</v>
      </c>
      <c r="AG787" s="1">
        <v>2800</v>
      </c>
      <c r="AH787" s="2">
        <v>45135</v>
      </c>
      <c r="AI787" s="2">
        <v>45291</v>
      </c>
      <c r="AJ787" s="2">
        <v>45135</v>
      </c>
    </row>
    <row r="788" spans="1:36">
      <c r="A788" s="1" t="str">
        <f>"Z5E3C11E84"</f>
        <v>Z5E3C11E84</v>
      </c>
      <c r="B788" s="1" t="str">
        <f t="shared" si="12"/>
        <v>02406911202</v>
      </c>
      <c r="C788" s="1" t="s">
        <v>13</v>
      </c>
      <c r="D788" s="1" t="s">
        <v>180</v>
      </c>
      <c r="E788" s="1" t="s">
        <v>279</v>
      </c>
      <c r="F788" s="1" t="s">
        <v>158</v>
      </c>
      <c r="G788" s="1" t="str">
        <f>"08860270969"</f>
        <v>08860270969</v>
      </c>
      <c r="I788" s="1" t="s">
        <v>969</v>
      </c>
      <c r="L788" s="1" t="s">
        <v>43</v>
      </c>
      <c r="M788" s="1">
        <v>5000</v>
      </c>
      <c r="AG788" s="1">
        <v>1687</v>
      </c>
      <c r="AH788" s="2">
        <v>45138</v>
      </c>
      <c r="AI788" s="2">
        <v>45291</v>
      </c>
      <c r="AJ788" s="2">
        <v>45138</v>
      </c>
    </row>
    <row r="789" spans="1:36">
      <c r="A789" s="1" t="str">
        <f>"ZAD3C7B891"</f>
        <v>ZAD3C7B891</v>
      </c>
      <c r="B789" s="1" t="str">
        <f t="shared" si="12"/>
        <v>02406911202</v>
      </c>
      <c r="C789" s="1" t="s">
        <v>13</v>
      </c>
      <c r="D789" s="1" t="s">
        <v>180</v>
      </c>
      <c r="E789" s="1" t="s">
        <v>281</v>
      </c>
      <c r="F789" s="1" t="s">
        <v>158</v>
      </c>
      <c r="G789" s="1" t="str">
        <f>"00972790109"</f>
        <v>00972790109</v>
      </c>
      <c r="I789" s="1" t="s">
        <v>934</v>
      </c>
      <c r="L789" s="1" t="s">
        <v>43</v>
      </c>
      <c r="M789" s="1">
        <v>6000</v>
      </c>
      <c r="AG789" s="1">
        <v>5836.6</v>
      </c>
      <c r="AH789" s="2">
        <v>45187</v>
      </c>
      <c r="AI789" s="2">
        <v>45291</v>
      </c>
      <c r="AJ789" s="2">
        <v>45187</v>
      </c>
    </row>
    <row r="790" spans="1:36">
      <c r="A790" s="1" t="str">
        <f>"Z173C7C41A"</f>
        <v>Z173C7C41A</v>
      </c>
      <c r="B790" s="1" t="str">
        <f t="shared" si="12"/>
        <v>02406911202</v>
      </c>
      <c r="C790" s="1" t="s">
        <v>13</v>
      </c>
      <c r="D790" s="1" t="s">
        <v>180</v>
      </c>
      <c r="E790" s="1" t="s">
        <v>970</v>
      </c>
      <c r="F790" s="1" t="s">
        <v>158</v>
      </c>
      <c r="G790" s="1" t="str">
        <f>"12792100153"</f>
        <v>12792100153</v>
      </c>
      <c r="I790" s="1" t="s">
        <v>58</v>
      </c>
      <c r="L790" s="1" t="s">
        <v>43</v>
      </c>
      <c r="M790" s="1">
        <v>6000</v>
      </c>
      <c r="AG790" s="1">
        <v>4896.17</v>
      </c>
      <c r="AH790" s="2">
        <v>45187</v>
      </c>
      <c r="AI790" s="2">
        <v>45291</v>
      </c>
      <c r="AJ790" s="2">
        <v>45187</v>
      </c>
    </row>
    <row r="791" spans="1:36">
      <c r="A791" s="1" t="str">
        <f>"ZA43C16363"</f>
        <v>ZA43C16363</v>
      </c>
      <c r="B791" s="1" t="str">
        <f t="shared" si="12"/>
        <v>02406911202</v>
      </c>
      <c r="C791" s="1" t="s">
        <v>13</v>
      </c>
      <c r="D791" s="1" t="s">
        <v>177</v>
      </c>
      <c r="E791" s="1" t="s">
        <v>971</v>
      </c>
      <c r="F791" s="1" t="s">
        <v>158</v>
      </c>
      <c r="G791" s="1" t="str">
        <f>"03904511205"</f>
        <v>03904511205</v>
      </c>
      <c r="I791" s="1" t="s">
        <v>972</v>
      </c>
      <c r="L791" s="1" t="s">
        <v>43</v>
      </c>
      <c r="M791" s="1">
        <v>39000</v>
      </c>
      <c r="AG791" s="1">
        <v>7741.01</v>
      </c>
      <c r="AH791" s="2">
        <v>45108</v>
      </c>
      <c r="AI791" s="2">
        <v>45657</v>
      </c>
      <c r="AJ791" s="2">
        <v>45108</v>
      </c>
    </row>
    <row r="792" spans="1:36">
      <c r="A792" s="1" t="str">
        <f>"997541982B"</f>
        <v>997541982B</v>
      </c>
      <c r="B792" s="1" t="str">
        <f t="shared" si="12"/>
        <v>02406911202</v>
      </c>
      <c r="C792" s="1" t="s">
        <v>13</v>
      </c>
      <c r="D792" s="1" t="s">
        <v>167</v>
      </c>
      <c r="E792" s="1" t="s">
        <v>973</v>
      </c>
      <c r="F792" s="1" t="s">
        <v>39</v>
      </c>
      <c r="G792" s="1" t="str">
        <f>"09328790150"</f>
        <v>09328790150</v>
      </c>
      <c r="I792" s="1" t="s">
        <v>974</v>
      </c>
      <c r="L792" s="1" t="s">
        <v>43</v>
      </c>
      <c r="M792" s="1">
        <v>56100</v>
      </c>
      <c r="AG792" s="1">
        <v>0</v>
      </c>
      <c r="AH792" s="2">
        <v>45139</v>
      </c>
      <c r="AI792" s="2">
        <v>45322</v>
      </c>
      <c r="AJ792" s="2">
        <v>45139</v>
      </c>
    </row>
    <row r="793" spans="1:36">
      <c r="A793" s="1" t="str">
        <f>"A0089EF461"</f>
        <v>A0089EF461</v>
      </c>
      <c r="B793" s="1" t="str">
        <f t="shared" si="12"/>
        <v>02406911202</v>
      </c>
      <c r="C793" s="1" t="s">
        <v>13</v>
      </c>
      <c r="D793" s="1" t="s">
        <v>167</v>
      </c>
      <c r="E793" s="1" t="s">
        <v>975</v>
      </c>
      <c r="F793" s="1" t="s">
        <v>39</v>
      </c>
      <c r="G793" s="1" t="str">
        <f>"04918311210"</f>
        <v>04918311210</v>
      </c>
      <c r="I793" s="1" t="s">
        <v>85</v>
      </c>
      <c r="L793" s="1" t="s">
        <v>43</v>
      </c>
      <c r="M793" s="1">
        <v>108766</v>
      </c>
      <c r="AG793" s="1">
        <v>19818</v>
      </c>
      <c r="AH793" s="2">
        <v>45173</v>
      </c>
      <c r="AI793" s="2">
        <v>45291</v>
      </c>
      <c r="AJ793" s="2">
        <v>45173</v>
      </c>
    </row>
    <row r="794" spans="1:36">
      <c r="A794" s="1" t="str">
        <f>"A0089FE0C3"</f>
        <v>A0089FE0C3</v>
      </c>
      <c r="B794" s="1" t="str">
        <f t="shared" si="12"/>
        <v>02406911202</v>
      </c>
      <c r="C794" s="1" t="s">
        <v>13</v>
      </c>
      <c r="D794" s="1" t="s">
        <v>167</v>
      </c>
      <c r="E794" s="1" t="s">
        <v>976</v>
      </c>
      <c r="F794" s="1" t="s">
        <v>39</v>
      </c>
      <c r="G794" s="1" t="str">
        <f>"00101780492"</f>
        <v>00101780492</v>
      </c>
      <c r="I794" s="1" t="s">
        <v>89</v>
      </c>
      <c r="L794" s="1" t="s">
        <v>43</v>
      </c>
      <c r="M794" s="1">
        <v>74054.679999999993</v>
      </c>
      <c r="AG794" s="1">
        <v>16226.61</v>
      </c>
      <c r="AH794" s="2">
        <v>45173</v>
      </c>
      <c r="AI794" s="2">
        <v>45443</v>
      </c>
      <c r="AJ794" s="2">
        <v>45173</v>
      </c>
    </row>
    <row r="795" spans="1:36">
      <c r="A795" s="1" t="str">
        <f>"Z1E3C47EB5"</f>
        <v>Z1E3C47EB5</v>
      </c>
      <c r="B795" s="1" t="str">
        <f t="shared" si="12"/>
        <v>02406911202</v>
      </c>
      <c r="C795" s="1" t="s">
        <v>13</v>
      </c>
      <c r="D795" s="1" t="s">
        <v>167</v>
      </c>
      <c r="E795" s="1" t="s">
        <v>977</v>
      </c>
      <c r="F795" s="1" t="s">
        <v>39</v>
      </c>
      <c r="G795" s="1" t="str">
        <f>"10863670153"</f>
        <v>10863670153</v>
      </c>
      <c r="I795" s="1" t="s">
        <v>90</v>
      </c>
      <c r="L795" s="1" t="s">
        <v>43</v>
      </c>
      <c r="M795" s="1">
        <v>4539</v>
      </c>
      <c r="AG795" s="1">
        <v>853.53</v>
      </c>
      <c r="AH795" s="2">
        <v>45173</v>
      </c>
      <c r="AI795" s="2">
        <v>45565</v>
      </c>
      <c r="AJ795" s="2">
        <v>45173</v>
      </c>
    </row>
    <row r="796" spans="1:36">
      <c r="A796" s="1" t="str">
        <f>"Z313C47EED"</f>
        <v>Z313C47EED</v>
      </c>
      <c r="B796" s="1" t="str">
        <f t="shared" si="12"/>
        <v>02406911202</v>
      </c>
      <c r="C796" s="1" t="s">
        <v>13</v>
      </c>
      <c r="D796" s="1" t="s">
        <v>167</v>
      </c>
      <c r="E796" s="1" t="s">
        <v>978</v>
      </c>
      <c r="F796" s="1" t="s">
        <v>39</v>
      </c>
      <c r="G796" s="1" t="str">
        <f>"10158651009"</f>
        <v>10158651009</v>
      </c>
      <c r="I796" s="1" t="s">
        <v>91</v>
      </c>
      <c r="L796" s="1" t="s">
        <v>43</v>
      </c>
      <c r="M796" s="1">
        <v>3339</v>
      </c>
      <c r="AG796" s="1">
        <v>206.67</v>
      </c>
      <c r="AH796" s="2">
        <v>45173</v>
      </c>
      <c r="AI796" s="2">
        <v>45565</v>
      </c>
      <c r="AJ796" s="2">
        <v>45173</v>
      </c>
    </row>
    <row r="797" spans="1:36">
      <c r="A797" s="1" t="str">
        <f>"Z323C47F32"</f>
        <v>Z323C47F32</v>
      </c>
      <c r="B797" s="1" t="str">
        <f t="shared" si="12"/>
        <v>02406911202</v>
      </c>
      <c r="C797" s="1" t="s">
        <v>13</v>
      </c>
      <c r="D797" s="1" t="s">
        <v>167</v>
      </c>
      <c r="E797" s="1" t="s">
        <v>979</v>
      </c>
      <c r="F797" s="1" t="s">
        <v>39</v>
      </c>
      <c r="G797" s="1" t="str">
        <f>"11271521004"</f>
        <v>11271521004</v>
      </c>
      <c r="I797" s="1" t="s">
        <v>93</v>
      </c>
      <c r="L797" s="1" t="s">
        <v>43</v>
      </c>
      <c r="M797" s="1">
        <v>2625</v>
      </c>
      <c r="AG797" s="1">
        <v>0</v>
      </c>
      <c r="AH797" s="2">
        <v>45173</v>
      </c>
      <c r="AI797" s="2">
        <v>45199</v>
      </c>
      <c r="AJ797" s="2">
        <v>45173</v>
      </c>
    </row>
    <row r="798" spans="1:36">
      <c r="A798" s="1" t="str">
        <f>"Z5B3C47F76"</f>
        <v>Z5B3C47F76</v>
      </c>
      <c r="B798" s="1" t="str">
        <f t="shared" si="12"/>
        <v>02406911202</v>
      </c>
      <c r="C798" s="1" t="s">
        <v>13</v>
      </c>
      <c r="D798" s="1" t="s">
        <v>167</v>
      </c>
      <c r="E798" s="1" t="s">
        <v>980</v>
      </c>
      <c r="F798" s="1" t="s">
        <v>39</v>
      </c>
      <c r="G798" s="1" t="str">
        <f>"11008200153"</f>
        <v>11008200153</v>
      </c>
      <c r="I798" s="1" t="s">
        <v>981</v>
      </c>
      <c r="L798" s="1" t="s">
        <v>43</v>
      </c>
      <c r="M798" s="1">
        <v>16400</v>
      </c>
      <c r="AG798" s="1">
        <v>3151.2</v>
      </c>
      <c r="AH798" s="2">
        <v>45173</v>
      </c>
      <c r="AI798" s="2">
        <v>45565</v>
      </c>
      <c r="AJ798" s="2">
        <v>45173</v>
      </c>
    </row>
    <row r="799" spans="1:36">
      <c r="A799" s="1" t="str">
        <f>"9935041F2E"</f>
        <v>9935041F2E</v>
      </c>
      <c r="B799" s="1" t="str">
        <f t="shared" si="12"/>
        <v>02406911202</v>
      </c>
      <c r="C799" s="1" t="s">
        <v>13</v>
      </c>
      <c r="D799" s="1" t="s">
        <v>167</v>
      </c>
      <c r="E799" s="1" t="s">
        <v>982</v>
      </c>
      <c r="F799" s="1" t="s">
        <v>286</v>
      </c>
      <c r="G799" s="1" t="str">
        <f>"03663531204"</f>
        <v>03663531204</v>
      </c>
      <c r="I799" s="1" t="s">
        <v>983</v>
      </c>
      <c r="L799" s="1" t="s">
        <v>43</v>
      </c>
      <c r="M799" s="1">
        <v>162300</v>
      </c>
      <c r="AG799" s="1">
        <v>0</v>
      </c>
      <c r="AH799" s="2">
        <v>45170</v>
      </c>
      <c r="AI799" s="2">
        <v>45900</v>
      </c>
      <c r="AJ799" s="2">
        <v>45170</v>
      </c>
    </row>
    <row r="800" spans="1:36">
      <c r="A800" s="1" t="str">
        <f>"A00F294F59"</f>
        <v>A00F294F59</v>
      </c>
      <c r="B800" s="1" t="str">
        <f t="shared" si="12"/>
        <v>02406911202</v>
      </c>
      <c r="C800" s="1" t="s">
        <v>13</v>
      </c>
      <c r="D800" s="1" t="s">
        <v>167</v>
      </c>
      <c r="E800" s="1" t="s">
        <v>984</v>
      </c>
      <c r="F800" s="1" t="s">
        <v>151</v>
      </c>
      <c r="G800" s="1" t="str">
        <f>"00667690044"</f>
        <v>00667690044</v>
      </c>
      <c r="I800" s="1" t="s">
        <v>442</v>
      </c>
      <c r="J800" s="1" t="s">
        <v>985</v>
      </c>
      <c r="K800" s="1" t="s">
        <v>139</v>
      </c>
      <c r="AJ800" s="2">
        <v>45190</v>
      </c>
    </row>
    <row r="801" spans="1:36">
      <c r="A801" s="1" t="str">
        <f>"A00F294F59"</f>
        <v>A00F294F59</v>
      </c>
      <c r="B801" s="1" t="str">
        <f t="shared" si="12"/>
        <v>02406911202</v>
      </c>
      <c r="C801" s="1" t="s">
        <v>13</v>
      </c>
      <c r="D801" s="1" t="s">
        <v>167</v>
      </c>
      <c r="E801" s="1" t="s">
        <v>984</v>
      </c>
      <c r="F801" s="1" t="s">
        <v>151</v>
      </c>
      <c r="G801" s="1" t="str">
        <f>"04303410726"</f>
        <v>04303410726</v>
      </c>
      <c r="I801" s="1" t="s">
        <v>986</v>
      </c>
      <c r="J801" s="1" t="s">
        <v>985</v>
      </c>
      <c r="K801" s="1" t="s">
        <v>141</v>
      </c>
      <c r="AJ801" s="2">
        <v>45190</v>
      </c>
    </row>
    <row r="802" spans="1:36">
      <c r="A802" s="1" t="str">
        <f>"A00F294F59"</f>
        <v>A00F294F59</v>
      </c>
      <c r="B802" s="1" t="str">
        <f t="shared" si="12"/>
        <v>02406911202</v>
      </c>
      <c r="C802" s="1" t="s">
        <v>13</v>
      </c>
      <c r="D802" s="1" t="s">
        <v>167</v>
      </c>
      <c r="E802" s="1" t="s">
        <v>984</v>
      </c>
      <c r="F802" s="1" t="s">
        <v>151</v>
      </c>
      <c r="I802" s="1" t="s">
        <v>985</v>
      </c>
      <c r="L802" s="1" t="s">
        <v>43</v>
      </c>
      <c r="M802" s="1">
        <v>115000</v>
      </c>
      <c r="AG802" s="1">
        <v>21354.01</v>
      </c>
      <c r="AH802" s="2">
        <v>45190</v>
      </c>
      <c r="AI802" s="2">
        <v>45372</v>
      </c>
      <c r="AJ802" s="2">
        <v>45190</v>
      </c>
    </row>
    <row r="803" spans="1:36">
      <c r="A803" s="1" t="str">
        <f>"A019E50799"</f>
        <v>A019E50799</v>
      </c>
      <c r="B803" s="1" t="str">
        <f t="shared" si="12"/>
        <v>02406911202</v>
      </c>
      <c r="C803" s="1" t="s">
        <v>13</v>
      </c>
      <c r="D803" s="1" t="s">
        <v>40</v>
      </c>
      <c r="E803" s="1" t="s">
        <v>987</v>
      </c>
      <c r="F803" s="1" t="s">
        <v>39</v>
      </c>
      <c r="G803" s="1" t="str">
        <f>"00674840152"</f>
        <v>00674840152</v>
      </c>
      <c r="I803" s="1" t="s">
        <v>87</v>
      </c>
      <c r="L803" s="1" t="s">
        <v>43</v>
      </c>
      <c r="M803" s="1">
        <v>45456</v>
      </c>
      <c r="O803" s="1">
        <v>28330</v>
      </c>
      <c r="P803" s="1">
        <v>9368</v>
      </c>
      <c r="Q803" s="1">
        <v>7758</v>
      </c>
      <c r="AJ803" s="2">
        <v>45204</v>
      </c>
    </row>
    <row r="804" spans="1:36">
      <c r="A804" s="1" t="str">
        <f>"A019E6F130"</f>
        <v>A019E6F130</v>
      </c>
      <c r="B804" s="1" t="str">
        <f t="shared" si="12"/>
        <v>02406911202</v>
      </c>
      <c r="C804" s="1" t="s">
        <v>13</v>
      </c>
      <c r="D804" s="1" t="s">
        <v>40</v>
      </c>
      <c r="E804" s="1" t="s">
        <v>988</v>
      </c>
      <c r="F804" s="1" t="s">
        <v>39</v>
      </c>
      <c r="G804" s="1" t="str">
        <f>"08114080156"</f>
        <v>08114080156</v>
      </c>
      <c r="I804" s="1" t="s">
        <v>989</v>
      </c>
      <c r="L804" s="1" t="s">
        <v>43</v>
      </c>
      <c r="M804" s="1">
        <v>189583.8</v>
      </c>
      <c r="N804" s="1">
        <v>115511.6</v>
      </c>
      <c r="O804" s="1">
        <v>61740</v>
      </c>
      <c r="P804" s="1">
        <v>10978</v>
      </c>
      <c r="Q804" s="1">
        <v>1354.2</v>
      </c>
      <c r="AJ804" s="2">
        <v>45204</v>
      </c>
    </row>
    <row r="805" spans="1:36">
      <c r="A805" s="1" t="str">
        <f>"A019E90C68"</f>
        <v>A019E90C68</v>
      </c>
      <c r="B805" s="1" t="str">
        <f t="shared" si="12"/>
        <v>02406911202</v>
      </c>
      <c r="C805" s="1" t="s">
        <v>13</v>
      </c>
      <c r="D805" s="1" t="s">
        <v>40</v>
      </c>
      <c r="E805" s="1" t="s">
        <v>990</v>
      </c>
      <c r="F805" s="1" t="s">
        <v>39</v>
      </c>
      <c r="G805" s="1" t="str">
        <f>"03524050238"</f>
        <v>03524050238</v>
      </c>
      <c r="I805" s="1" t="s">
        <v>171</v>
      </c>
      <c r="L805" s="1" t="s">
        <v>43</v>
      </c>
      <c r="M805" s="1">
        <v>163850</v>
      </c>
      <c r="N805" s="1">
        <v>53880</v>
      </c>
      <c r="O805" s="1">
        <v>64230</v>
      </c>
      <c r="P805" s="1">
        <v>45740</v>
      </c>
      <c r="AJ805" s="2">
        <v>45204</v>
      </c>
    </row>
    <row r="806" spans="1:36">
      <c r="A806" s="1" t="str">
        <f>"A019EAC386"</f>
        <v>A019EAC386</v>
      </c>
      <c r="B806" s="1" t="str">
        <f t="shared" si="12"/>
        <v>02406911202</v>
      </c>
      <c r="C806" s="1" t="s">
        <v>13</v>
      </c>
      <c r="D806" s="1" t="s">
        <v>40</v>
      </c>
      <c r="E806" s="1" t="s">
        <v>991</v>
      </c>
      <c r="F806" s="1" t="s">
        <v>39</v>
      </c>
      <c r="G806" s="1" t="str">
        <f>"00228550273"</f>
        <v>00228550273</v>
      </c>
      <c r="I806" s="1" t="s">
        <v>201</v>
      </c>
      <c r="L806" s="1" t="s">
        <v>43</v>
      </c>
      <c r="M806" s="1">
        <v>35183</v>
      </c>
      <c r="N806" s="1">
        <v>5041</v>
      </c>
      <c r="O806" s="1">
        <v>25771</v>
      </c>
      <c r="P806" s="1">
        <v>2369</v>
      </c>
      <c r="Q806" s="1">
        <v>2002</v>
      </c>
      <c r="AJ806" s="2">
        <v>45204</v>
      </c>
    </row>
    <row r="807" spans="1:36">
      <c r="A807" s="1" t="str">
        <f>"A010EABD8D"</f>
        <v>A010EABD8D</v>
      </c>
      <c r="B807" s="1" t="str">
        <f t="shared" si="12"/>
        <v>02406911202</v>
      </c>
      <c r="C807" s="1" t="s">
        <v>13</v>
      </c>
      <c r="D807" s="1" t="s">
        <v>40</v>
      </c>
      <c r="E807" s="1" t="s">
        <v>992</v>
      </c>
      <c r="F807" s="1" t="s">
        <v>158</v>
      </c>
      <c r="G807" s="1" t="str">
        <f>"12673870965"</f>
        <v>12673870965</v>
      </c>
      <c r="I807" s="1" t="s">
        <v>993</v>
      </c>
      <c r="L807" s="1" t="s">
        <v>43</v>
      </c>
      <c r="M807" s="1">
        <v>70000</v>
      </c>
      <c r="N807" s="1">
        <v>35000</v>
      </c>
      <c r="O807" s="1">
        <v>35000</v>
      </c>
      <c r="AJ807" s="2">
        <v>45188</v>
      </c>
    </row>
    <row r="808" spans="1:36">
      <c r="A808" s="1" t="str">
        <f>"A01D73395D"</f>
        <v>A01D73395D</v>
      </c>
      <c r="B808" s="1" t="str">
        <f t="shared" si="12"/>
        <v>02406911202</v>
      </c>
      <c r="C808" s="1" t="s">
        <v>13</v>
      </c>
      <c r="D808" s="1" t="s">
        <v>40</v>
      </c>
      <c r="E808" s="1" t="s">
        <v>994</v>
      </c>
      <c r="F808" s="1" t="s">
        <v>39</v>
      </c>
      <c r="G808" s="1" t="str">
        <f>"09018810151"</f>
        <v>09018810151</v>
      </c>
      <c r="I808" s="1" t="s">
        <v>203</v>
      </c>
      <c r="L808" s="1" t="s">
        <v>43</v>
      </c>
      <c r="M808" s="1">
        <v>161364.29999999999</v>
      </c>
      <c r="N808" s="1">
        <v>85950</v>
      </c>
      <c r="O808" s="1">
        <v>60442</v>
      </c>
      <c r="P808" s="1">
        <v>1663.8</v>
      </c>
      <c r="Q808" s="1">
        <v>12754</v>
      </c>
      <c r="X808" s="1">
        <v>554.5</v>
      </c>
      <c r="AH808" s="2">
        <v>45215</v>
      </c>
      <c r="AI808" s="2">
        <v>45945</v>
      </c>
      <c r="AJ808" s="2">
        <v>45212</v>
      </c>
    </row>
    <row r="809" spans="1:36">
      <c r="A809" s="1" t="str">
        <f>"A01D76FAE0"</f>
        <v>A01D76FAE0</v>
      </c>
      <c r="B809" s="1" t="str">
        <f t="shared" si="12"/>
        <v>02406911202</v>
      </c>
      <c r="C809" s="1" t="s">
        <v>13</v>
      </c>
      <c r="D809" s="1" t="s">
        <v>40</v>
      </c>
      <c r="E809" s="1" t="s">
        <v>994</v>
      </c>
      <c r="F809" s="1" t="s">
        <v>39</v>
      </c>
      <c r="G809" s="1" t="str">
        <f>"09018810151"</f>
        <v>09018810151</v>
      </c>
      <c r="I809" s="1" t="s">
        <v>203</v>
      </c>
      <c r="L809" s="1" t="s">
        <v>43</v>
      </c>
      <c r="M809" s="1">
        <v>97614.399999999994</v>
      </c>
      <c r="N809" s="1">
        <v>71260</v>
      </c>
      <c r="O809" s="1">
        <v>6198</v>
      </c>
      <c r="P809" s="1">
        <v>2694.4</v>
      </c>
      <c r="Q809" s="1">
        <v>17462</v>
      </c>
      <c r="AH809" s="2">
        <v>45215</v>
      </c>
      <c r="AI809" s="2">
        <v>45945</v>
      </c>
      <c r="AJ809" s="2">
        <v>45212</v>
      </c>
    </row>
    <row r="810" spans="1:36">
      <c r="A810" s="1" t="str">
        <f>"A01D77717D"</f>
        <v>A01D77717D</v>
      </c>
      <c r="B810" s="1" t="str">
        <f t="shared" si="12"/>
        <v>02406911202</v>
      </c>
      <c r="C810" s="1" t="s">
        <v>13</v>
      </c>
      <c r="D810" s="1" t="s">
        <v>40</v>
      </c>
      <c r="E810" s="1" t="s">
        <v>994</v>
      </c>
      <c r="F810" s="1" t="s">
        <v>39</v>
      </c>
      <c r="G810" s="1" t="str">
        <f>"10574970017"</f>
        <v>10574970017</v>
      </c>
      <c r="I810" s="1" t="s">
        <v>782</v>
      </c>
      <c r="L810" s="1" t="s">
        <v>43</v>
      </c>
      <c r="M810" s="1">
        <v>84770</v>
      </c>
      <c r="N810" s="1">
        <v>49000</v>
      </c>
      <c r="O810" s="1">
        <v>19600</v>
      </c>
      <c r="P810" s="1">
        <v>4900</v>
      </c>
      <c r="Q810" s="1">
        <v>9800</v>
      </c>
      <c r="X810" s="1">
        <v>1470</v>
      </c>
      <c r="AH810" s="2">
        <v>45215</v>
      </c>
      <c r="AI810" s="2">
        <v>45945</v>
      </c>
      <c r="AJ810" s="2">
        <v>45212</v>
      </c>
    </row>
    <row r="811" spans="1:36">
      <c r="A811" s="1" t="str">
        <f>"A01D78F54A"</f>
        <v>A01D78F54A</v>
      </c>
      <c r="B811" s="1" t="str">
        <f t="shared" si="12"/>
        <v>02406911202</v>
      </c>
      <c r="C811" s="1" t="s">
        <v>13</v>
      </c>
      <c r="D811" s="1" t="s">
        <v>40</v>
      </c>
      <c r="E811" s="1" t="s">
        <v>994</v>
      </c>
      <c r="F811" s="1" t="s">
        <v>39</v>
      </c>
      <c r="G811" s="1" t="str">
        <f>"01835220482"</f>
        <v>01835220482</v>
      </c>
      <c r="I811" s="1" t="s">
        <v>531</v>
      </c>
      <c r="L811" s="1" t="s">
        <v>43</v>
      </c>
      <c r="M811" s="1">
        <v>41920</v>
      </c>
      <c r="N811" s="1">
        <v>6200</v>
      </c>
      <c r="O811" s="1">
        <v>32400</v>
      </c>
      <c r="P811" s="1">
        <v>3320</v>
      </c>
      <c r="AH811" s="2">
        <v>45215</v>
      </c>
      <c r="AI811" s="2">
        <v>45945</v>
      </c>
      <c r="AJ811" s="2">
        <v>45212</v>
      </c>
    </row>
    <row r="812" spans="1:36">
      <c r="A812" s="1" t="str">
        <f>"A01D79F27F"</f>
        <v>A01D79F27F</v>
      </c>
      <c r="B812" s="1" t="str">
        <f t="shared" si="12"/>
        <v>02406911202</v>
      </c>
      <c r="C812" s="1" t="s">
        <v>13</v>
      </c>
      <c r="D812" s="1" t="s">
        <v>40</v>
      </c>
      <c r="E812" s="1" t="s">
        <v>994</v>
      </c>
      <c r="F812" s="1" t="s">
        <v>39</v>
      </c>
      <c r="G812" s="1" t="str">
        <f>"10574970017"</f>
        <v>10574970017</v>
      </c>
      <c r="I812" s="1" t="s">
        <v>782</v>
      </c>
      <c r="L812" s="1" t="s">
        <v>43</v>
      </c>
      <c r="M812" s="1">
        <v>51560</v>
      </c>
      <c r="O812" s="1">
        <v>50640</v>
      </c>
      <c r="P812" s="1">
        <v>920</v>
      </c>
      <c r="AH812" s="2">
        <v>45215</v>
      </c>
      <c r="AI812" s="2">
        <v>45945</v>
      </c>
      <c r="AJ812" s="2">
        <v>45212</v>
      </c>
    </row>
    <row r="813" spans="1:36">
      <c r="A813" s="1" t="str">
        <f>"A00C83F064"</f>
        <v>A00C83F064</v>
      </c>
      <c r="B813" s="1" t="str">
        <f t="shared" si="12"/>
        <v>02406911202</v>
      </c>
      <c r="C813" s="1" t="s">
        <v>13</v>
      </c>
      <c r="D813" s="1" t="s">
        <v>40</v>
      </c>
      <c r="E813" s="1" t="s">
        <v>995</v>
      </c>
      <c r="F813" s="1" t="s">
        <v>39</v>
      </c>
      <c r="G813" s="1" t="str">
        <f>"11187430159"</f>
        <v>11187430159</v>
      </c>
      <c r="I813" s="1" t="s">
        <v>476</v>
      </c>
      <c r="L813" s="1" t="s">
        <v>43</v>
      </c>
      <c r="M813" s="1">
        <v>2528243.2000000002</v>
      </c>
      <c r="N813" s="1">
        <v>1120896</v>
      </c>
      <c r="O813" s="1">
        <v>1120896</v>
      </c>
      <c r="P813" s="1">
        <v>6227.2</v>
      </c>
      <c r="Q813" s="1">
        <v>280224</v>
      </c>
      <c r="AJ813" s="2">
        <v>45176</v>
      </c>
    </row>
    <row r="814" spans="1:36">
      <c r="A814" s="1" t="str">
        <f>"A020AC68D3"</f>
        <v>A020AC68D3</v>
      </c>
      <c r="B814" s="1" t="str">
        <f t="shared" si="12"/>
        <v>02406911202</v>
      </c>
      <c r="C814" s="1" t="s">
        <v>13</v>
      </c>
      <c r="D814" s="1" t="s">
        <v>40</v>
      </c>
      <c r="E814" s="1" t="s">
        <v>996</v>
      </c>
      <c r="F814" s="1" t="s">
        <v>39</v>
      </c>
      <c r="G814" s="1" t="str">
        <f>"07195130153"</f>
        <v>07195130153</v>
      </c>
      <c r="I814" s="1" t="s">
        <v>143</v>
      </c>
      <c r="L814" s="1" t="s">
        <v>43</v>
      </c>
      <c r="M814" s="1">
        <v>955908</v>
      </c>
      <c r="N814" s="1">
        <v>168336</v>
      </c>
      <c r="O814" s="1">
        <v>715428</v>
      </c>
      <c r="Q814" s="1">
        <v>72144</v>
      </c>
      <c r="AJ814" s="2">
        <v>45219</v>
      </c>
    </row>
    <row r="815" spans="1:36">
      <c r="A815" s="1" t="str">
        <f>"A01DEC47D4"</f>
        <v>A01DEC47D4</v>
      </c>
      <c r="B815" s="1" t="str">
        <f t="shared" si="12"/>
        <v>02406911202</v>
      </c>
      <c r="C815" s="1" t="s">
        <v>13</v>
      </c>
      <c r="D815" s="1" t="s">
        <v>40</v>
      </c>
      <c r="E815" s="1" t="s">
        <v>997</v>
      </c>
      <c r="F815" s="1" t="s">
        <v>132</v>
      </c>
      <c r="M815" s="1">
        <v>109445.08</v>
      </c>
      <c r="AH815" s="2">
        <v>45221</v>
      </c>
      <c r="AI815" s="2">
        <v>45403</v>
      </c>
      <c r="AJ815" s="2">
        <v>45219</v>
      </c>
    </row>
    <row r="816" spans="1:36">
      <c r="A816" s="1" t="str">
        <f>"A0253EB530"</f>
        <v>A0253EB530</v>
      </c>
      <c r="B816" s="1" t="str">
        <f t="shared" si="12"/>
        <v>02406911202</v>
      </c>
      <c r="C816" s="1" t="s">
        <v>13</v>
      </c>
      <c r="D816" s="1" t="s">
        <v>40</v>
      </c>
      <c r="E816" s="1" t="s">
        <v>998</v>
      </c>
      <c r="F816" s="1" t="s">
        <v>39</v>
      </c>
      <c r="G816" s="1" t="str">
        <f>"00747170157"</f>
        <v>00747170157</v>
      </c>
      <c r="I816" s="1" t="s">
        <v>578</v>
      </c>
      <c r="L816" s="1" t="s">
        <v>43</v>
      </c>
      <c r="M816" s="1">
        <v>1370967</v>
      </c>
      <c r="O816" s="1">
        <v>1370967</v>
      </c>
      <c r="AJ816" s="2">
        <v>45230</v>
      </c>
    </row>
    <row r="817" spans="1:36">
      <c r="A817" s="1" t="str">
        <f>"A0070D3BD1"</f>
        <v>A0070D3BD1</v>
      </c>
      <c r="B817" s="1" t="str">
        <f t="shared" si="12"/>
        <v>02406911202</v>
      </c>
      <c r="C817" s="1" t="s">
        <v>13</v>
      </c>
      <c r="D817" s="1" t="s">
        <v>40</v>
      </c>
      <c r="E817" s="1" t="s">
        <v>999</v>
      </c>
      <c r="F817" s="1" t="s">
        <v>39</v>
      </c>
      <c r="G817" s="1" t="str">
        <f>"13730121004"</f>
        <v>13730121004</v>
      </c>
      <c r="I817" s="1" t="s">
        <v>474</v>
      </c>
      <c r="L817" s="1" t="s">
        <v>43</v>
      </c>
      <c r="M817" s="1">
        <v>556552.85</v>
      </c>
      <c r="N817" s="1">
        <v>233333.85</v>
      </c>
      <c r="S817" s="1">
        <v>323219</v>
      </c>
      <c r="AH817" s="2">
        <v>45172</v>
      </c>
      <c r="AI817" s="2">
        <v>45902</v>
      </c>
      <c r="AJ817" s="2">
        <v>45161</v>
      </c>
    </row>
    <row r="818" spans="1:36">
      <c r="A818" s="1" t="str">
        <f>"A006796C28"</f>
        <v>A006796C28</v>
      </c>
      <c r="B818" s="1" t="str">
        <f t="shared" si="12"/>
        <v>02406911202</v>
      </c>
      <c r="C818" s="1" t="s">
        <v>13</v>
      </c>
      <c r="D818" s="1" t="s">
        <v>40</v>
      </c>
      <c r="E818" s="1" t="s">
        <v>1000</v>
      </c>
      <c r="F818" s="1" t="s">
        <v>39</v>
      </c>
      <c r="G818" s="1" t="str">
        <f>"03593680378"</f>
        <v>03593680378</v>
      </c>
      <c r="I818" s="1" t="s">
        <v>1001</v>
      </c>
      <c r="L818" s="1" t="s">
        <v>43</v>
      </c>
      <c r="M818" s="1">
        <v>78900</v>
      </c>
      <c r="O818" s="1">
        <v>78900</v>
      </c>
      <c r="AJ818" s="2">
        <v>45198</v>
      </c>
    </row>
    <row r="819" spans="1:36">
      <c r="A819" s="1" t="str">
        <f>"A0083E1547"</f>
        <v>A0083E1547</v>
      </c>
      <c r="B819" s="1" t="str">
        <f t="shared" si="12"/>
        <v>02406911202</v>
      </c>
      <c r="C819" s="1" t="s">
        <v>13</v>
      </c>
      <c r="D819" s="1" t="s">
        <v>40</v>
      </c>
      <c r="E819" s="1" t="s">
        <v>1002</v>
      </c>
      <c r="F819" s="1" t="s">
        <v>39</v>
      </c>
      <c r="G819" s="1" t="str">
        <f>"06294880965"</f>
        <v>06294880965</v>
      </c>
      <c r="I819" s="1" t="s">
        <v>1003</v>
      </c>
      <c r="L819" s="1" t="s">
        <v>43</v>
      </c>
      <c r="M819" s="1">
        <v>94245.68</v>
      </c>
      <c r="P819" s="1">
        <v>94245.68</v>
      </c>
      <c r="AJ819" s="2">
        <v>45237</v>
      </c>
    </row>
    <row r="820" spans="1:36">
      <c r="A820" s="1" t="str">
        <f>"A02BDCD5C4"</f>
        <v>A02BDCD5C4</v>
      </c>
      <c r="B820" s="1" t="str">
        <f t="shared" si="12"/>
        <v>02406911202</v>
      </c>
      <c r="C820" s="1" t="s">
        <v>13</v>
      </c>
      <c r="D820" s="1" t="s">
        <v>40</v>
      </c>
      <c r="E820" s="1" t="s">
        <v>1004</v>
      </c>
      <c r="F820" s="1" t="s">
        <v>39</v>
      </c>
      <c r="G820" s="1" t="str">
        <f>"04192740969"</f>
        <v>04192740969</v>
      </c>
      <c r="I820" s="1" t="s">
        <v>1005</v>
      </c>
      <c r="L820" s="1" t="s">
        <v>43</v>
      </c>
      <c r="M820" s="1">
        <v>6503.12</v>
      </c>
      <c r="N820" s="1">
        <v>2298.4</v>
      </c>
      <c r="O820" s="1">
        <v>4056</v>
      </c>
      <c r="R820" s="1">
        <v>67.599999999999994</v>
      </c>
      <c r="S820" s="1">
        <v>81.12</v>
      </c>
      <c r="AJ820" s="2">
        <v>45245</v>
      </c>
    </row>
    <row r="821" spans="1:36">
      <c r="A821" s="1" t="str">
        <f>"A02BDD9FA8"</f>
        <v>A02BDD9FA8</v>
      </c>
      <c r="B821" s="1" t="str">
        <f t="shared" si="12"/>
        <v>02406911202</v>
      </c>
      <c r="C821" s="1" t="s">
        <v>13</v>
      </c>
      <c r="D821" s="1" t="s">
        <v>40</v>
      </c>
      <c r="E821" s="1" t="s">
        <v>1006</v>
      </c>
      <c r="F821" s="1" t="s">
        <v>39</v>
      </c>
      <c r="G821" s="1" t="str">
        <f>"09273000969"</f>
        <v>09273000969</v>
      </c>
      <c r="I821" s="1" t="s">
        <v>1007</v>
      </c>
      <c r="L821" s="1" t="s">
        <v>43</v>
      </c>
      <c r="M821" s="1">
        <v>11064</v>
      </c>
      <c r="N821" s="1">
        <v>10800</v>
      </c>
      <c r="O821" s="1">
        <v>240</v>
      </c>
      <c r="S821" s="1">
        <v>24</v>
      </c>
      <c r="AJ821" s="2">
        <v>45245</v>
      </c>
    </row>
    <row r="822" spans="1:36">
      <c r="A822" s="1" t="str">
        <f>"A02BDE6A64"</f>
        <v>A02BDE6A64</v>
      </c>
      <c r="B822" s="1" t="str">
        <f t="shared" si="12"/>
        <v>02406911202</v>
      </c>
      <c r="C822" s="1" t="s">
        <v>13</v>
      </c>
      <c r="D822" s="1" t="s">
        <v>40</v>
      </c>
      <c r="E822" s="1" t="s">
        <v>1008</v>
      </c>
      <c r="F822" s="1" t="s">
        <v>39</v>
      </c>
      <c r="G822" s="1" t="str">
        <f>"04192740969"</f>
        <v>04192740969</v>
      </c>
      <c r="I822" s="1" t="s">
        <v>1005</v>
      </c>
      <c r="L822" s="1" t="s">
        <v>43</v>
      </c>
      <c r="M822" s="1">
        <v>14671.5</v>
      </c>
      <c r="N822" s="1">
        <v>630</v>
      </c>
      <c r="O822" s="1">
        <v>270</v>
      </c>
      <c r="P822" s="1">
        <v>3000</v>
      </c>
      <c r="Q822" s="1">
        <v>10500</v>
      </c>
      <c r="S822" s="1">
        <v>271.5</v>
      </c>
      <c r="AJ822" s="2">
        <v>45245</v>
      </c>
    </row>
    <row r="823" spans="1:36">
      <c r="A823" s="1" t="str">
        <f>"A02BDFDD5E"</f>
        <v>A02BDFDD5E</v>
      </c>
      <c r="B823" s="1" t="str">
        <f t="shared" si="12"/>
        <v>02406911202</v>
      </c>
      <c r="C823" s="1" t="s">
        <v>13</v>
      </c>
      <c r="D823" s="1" t="s">
        <v>40</v>
      </c>
      <c r="E823" s="1" t="s">
        <v>1009</v>
      </c>
      <c r="F823" s="1" t="s">
        <v>39</v>
      </c>
      <c r="G823" s="1" t="str">
        <f>"04192740969"</f>
        <v>04192740969</v>
      </c>
      <c r="I823" s="1" t="s">
        <v>1005</v>
      </c>
      <c r="L823" s="1" t="s">
        <v>43</v>
      </c>
      <c r="M823" s="1">
        <v>13289</v>
      </c>
      <c r="O823" s="1">
        <v>3699</v>
      </c>
      <c r="R823" s="1">
        <v>5480</v>
      </c>
      <c r="S823" s="1">
        <v>4110</v>
      </c>
      <c r="AJ823" s="2">
        <v>45245</v>
      </c>
    </row>
    <row r="824" spans="1:36">
      <c r="A824" s="1" t="str">
        <f>"A02BE1405D"</f>
        <v>A02BE1405D</v>
      </c>
      <c r="B824" s="1" t="str">
        <f t="shared" si="12"/>
        <v>02406911202</v>
      </c>
      <c r="C824" s="1" t="s">
        <v>13</v>
      </c>
      <c r="D824" s="1" t="s">
        <v>40</v>
      </c>
      <c r="E824" s="1" t="s">
        <v>1010</v>
      </c>
      <c r="F824" s="1" t="s">
        <v>39</v>
      </c>
      <c r="M824" s="1">
        <v>10011.32</v>
      </c>
      <c r="AJ824" s="2">
        <v>45245</v>
      </c>
    </row>
    <row r="825" spans="1:36">
      <c r="A825" s="1" t="str">
        <f>"A01EE814AB"</f>
        <v>A01EE814AB</v>
      </c>
      <c r="B825" s="1" t="str">
        <f t="shared" si="12"/>
        <v>02406911202</v>
      </c>
      <c r="C825" s="1" t="s">
        <v>13</v>
      </c>
      <c r="D825" s="1" t="s">
        <v>40</v>
      </c>
      <c r="E825" s="1" t="s">
        <v>1011</v>
      </c>
      <c r="F825" s="1" t="s">
        <v>39</v>
      </c>
      <c r="G825" s="1" t="str">
        <f>"11264670156"</f>
        <v>11264670156</v>
      </c>
      <c r="I825" s="1" t="s">
        <v>66</v>
      </c>
      <c r="L825" s="1" t="s">
        <v>43</v>
      </c>
      <c r="M825" s="1">
        <v>324540</v>
      </c>
      <c r="O825" s="1">
        <v>324540</v>
      </c>
      <c r="AJ825" s="2">
        <v>45254</v>
      </c>
    </row>
    <row r="826" spans="1:36">
      <c r="A826" s="1" t="str">
        <f>"A0327DA9D3"</f>
        <v>A0327DA9D3</v>
      </c>
      <c r="B826" s="1" t="str">
        <f t="shared" si="12"/>
        <v>02406911202</v>
      </c>
      <c r="C826" s="1" t="s">
        <v>13</v>
      </c>
      <c r="D826" s="1" t="s">
        <v>40</v>
      </c>
      <c r="E826" s="1" t="s">
        <v>1012</v>
      </c>
      <c r="F826" s="1" t="s">
        <v>39</v>
      </c>
      <c r="G826" s="1" t="str">
        <f>"05763890638"</f>
        <v>05763890638</v>
      </c>
      <c r="I826" s="1" t="s">
        <v>1013</v>
      </c>
      <c r="L826" s="1" t="s">
        <v>43</v>
      </c>
      <c r="M826" s="1">
        <v>1419000.12</v>
      </c>
      <c r="N826" s="1">
        <v>283800.02</v>
      </c>
      <c r="O826" s="1">
        <v>709500.06</v>
      </c>
      <c r="Q826" s="1">
        <v>425700.04</v>
      </c>
      <c r="AJ826" s="2">
        <v>45257</v>
      </c>
    </row>
    <row r="827" spans="1:36">
      <c r="A827" s="1" t="str">
        <f>"A031CD0DBB"</f>
        <v>A031CD0DBB</v>
      </c>
      <c r="B827" s="1" t="str">
        <f t="shared" si="12"/>
        <v>02406911202</v>
      </c>
      <c r="C827" s="1" t="s">
        <v>13</v>
      </c>
      <c r="D827" s="1" t="s">
        <v>40</v>
      </c>
      <c r="E827" s="1" t="s">
        <v>1014</v>
      </c>
      <c r="F827" s="1" t="s">
        <v>39</v>
      </c>
      <c r="G827" s="1" t="str">
        <f>"00803890151"</f>
        <v>00803890151</v>
      </c>
      <c r="I827" s="1" t="s">
        <v>104</v>
      </c>
      <c r="L827" s="1" t="s">
        <v>43</v>
      </c>
      <c r="M827" s="1">
        <v>1756255.5</v>
      </c>
      <c r="N827" s="1">
        <v>1278054</v>
      </c>
      <c r="O827" s="1">
        <v>116679</v>
      </c>
      <c r="S827" s="1">
        <v>361522.5</v>
      </c>
      <c r="AJ827" s="2">
        <v>45254</v>
      </c>
    </row>
    <row r="828" spans="1:36">
      <c r="A828" s="1" t="str">
        <f>"A010D968F8"</f>
        <v>A010D968F8</v>
      </c>
      <c r="B828" s="1" t="str">
        <f t="shared" si="12"/>
        <v>02406911202</v>
      </c>
      <c r="C828" s="1" t="s">
        <v>13</v>
      </c>
      <c r="D828" s="1" t="s">
        <v>40</v>
      </c>
      <c r="E828" s="1" t="s">
        <v>1015</v>
      </c>
      <c r="F828" s="1" t="s">
        <v>286</v>
      </c>
      <c r="G828" s="1" t="str">
        <f>"03833021201"</f>
        <v>03833021201</v>
      </c>
      <c r="I828" s="1" t="s">
        <v>779</v>
      </c>
      <c r="L828" s="1" t="s">
        <v>43</v>
      </c>
      <c r="M828" s="1">
        <v>138909.06</v>
      </c>
      <c r="O828" s="1">
        <v>138909.06</v>
      </c>
      <c r="AJ828" s="2">
        <v>45196</v>
      </c>
    </row>
    <row r="829" spans="1:36">
      <c r="A829" s="1" t="str">
        <f>"A035771F8C"</f>
        <v>A035771F8C</v>
      </c>
      <c r="B829" s="1" t="str">
        <f t="shared" si="12"/>
        <v>02406911202</v>
      </c>
      <c r="C829" s="1" t="s">
        <v>13</v>
      </c>
      <c r="D829" s="1" t="s">
        <v>40</v>
      </c>
      <c r="E829" s="1" t="s">
        <v>1016</v>
      </c>
      <c r="F829" s="1" t="s">
        <v>39</v>
      </c>
      <c r="G829" s="1" t="str">
        <f>"05665070966"</f>
        <v>05665070966</v>
      </c>
      <c r="I829" s="1" t="s">
        <v>1017</v>
      </c>
      <c r="L829" s="1" t="s">
        <v>43</v>
      </c>
      <c r="M829" s="1">
        <v>7402645.2000000002</v>
      </c>
      <c r="O829" s="1">
        <v>7402645.2000000002</v>
      </c>
      <c r="AJ829" s="2">
        <v>45260</v>
      </c>
    </row>
    <row r="830" spans="1:36">
      <c r="A830" s="1" t="str">
        <f>"A0390FCBF5"</f>
        <v>A0390FCBF5</v>
      </c>
      <c r="B830" s="1" t="str">
        <f t="shared" si="12"/>
        <v>02406911202</v>
      </c>
      <c r="C830" s="1" t="s">
        <v>13</v>
      </c>
      <c r="D830" s="1" t="s">
        <v>40</v>
      </c>
      <c r="E830" s="1" t="s">
        <v>1018</v>
      </c>
      <c r="F830" s="1" t="s">
        <v>39</v>
      </c>
      <c r="G830" s="1" t="str">
        <f>"06741870965"</f>
        <v>06741870965</v>
      </c>
      <c r="I830" s="1" t="s">
        <v>1019</v>
      </c>
      <c r="L830" s="1" t="s">
        <v>43</v>
      </c>
      <c r="M830" s="1">
        <v>119121.75</v>
      </c>
      <c r="O830" s="1">
        <v>119121.75</v>
      </c>
      <c r="AH830" s="2">
        <v>45267</v>
      </c>
      <c r="AI830" s="2">
        <v>46022</v>
      </c>
      <c r="AJ830" s="2">
        <v>45266</v>
      </c>
    </row>
    <row r="831" spans="1:36">
      <c r="A831" s="1" t="str">
        <f>"A00941B943"</f>
        <v>A00941B943</v>
      </c>
      <c r="B831" s="1" t="str">
        <f t="shared" si="12"/>
        <v>02406911202</v>
      </c>
      <c r="C831" s="1" t="s">
        <v>13</v>
      </c>
      <c r="D831" s="1" t="s">
        <v>40</v>
      </c>
      <c r="E831" s="1" t="s">
        <v>1020</v>
      </c>
      <c r="F831" s="1" t="s">
        <v>39</v>
      </c>
      <c r="G831" s="1" t="str">
        <f>"97173800588"</f>
        <v>97173800588</v>
      </c>
      <c r="I831" s="1" t="s">
        <v>1021</v>
      </c>
      <c r="L831" s="1" t="s">
        <v>43</v>
      </c>
      <c r="M831" s="1">
        <v>189200</v>
      </c>
      <c r="N831" s="1">
        <v>22000</v>
      </c>
      <c r="O831" s="1">
        <v>132000</v>
      </c>
      <c r="S831" s="1">
        <v>35200</v>
      </c>
      <c r="AJ831" s="2">
        <v>45168</v>
      </c>
    </row>
    <row r="832" spans="1:36">
      <c r="A832" s="1" t="str">
        <f>"A0094E0BD4"</f>
        <v>A0094E0BD4</v>
      </c>
      <c r="B832" s="1" t="str">
        <f t="shared" si="12"/>
        <v>02406911202</v>
      </c>
      <c r="C832" s="1" t="s">
        <v>13</v>
      </c>
      <c r="D832" s="1" t="s">
        <v>40</v>
      </c>
      <c r="E832" s="1" t="s">
        <v>1022</v>
      </c>
      <c r="F832" s="1" t="s">
        <v>39</v>
      </c>
      <c r="G832" s="1" t="str">
        <f>"02457060032"</f>
        <v>02457060032</v>
      </c>
      <c r="I832" s="1" t="s">
        <v>320</v>
      </c>
      <c r="L832" s="1" t="s">
        <v>43</v>
      </c>
      <c r="M832" s="1">
        <v>185272.7</v>
      </c>
      <c r="N832" s="1">
        <v>46259</v>
      </c>
      <c r="O832" s="1">
        <v>96481.2</v>
      </c>
      <c r="Q832" s="1">
        <v>13281.2</v>
      </c>
      <c r="R832" s="1">
        <v>19438.900000000001</v>
      </c>
      <c r="S832" s="1">
        <v>9812.4</v>
      </c>
      <c r="AJ832" s="2">
        <v>45168</v>
      </c>
    </row>
    <row r="833" spans="1:36">
      <c r="A833" s="1" t="str">
        <f>"A0094D204A"</f>
        <v>A0094D204A</v>
      </c>
      <c r="B833" s="1" t="str">
        <f t="shared" si="12"/>
        <v>02406911202</v>
      </c>
      <c r="C833" s="1" t="s">
        <v>13</v>
      </c>
      <c r="D833" s="1" t="s">
        <v>40</v>
      </c>
      <c r="E833" s="1" t="s">
        <v>1022</v>
      </c>
      <c r="F833" s="1" t="s">
        <v>39</v>
      </c>
      <c r="G833" s="1" t="str">
        <f>"02256250446"</f>
        <v>02256250446</v>
      </c>
      <c r="I833" s="1" t="s">
        <v>403</v>
      </c>
      <c r="L833" s="1" t="s">
        <v>43</v>
      </c>
      <c r="M833" s="1">
        <v>56500</v>
      </c>
      <c r="N833" s="1">
        <v>1960</v>
      </c>
      <c r="O833" s="1">
        <v>51940</v>
      </c>
      <c r="Q833" s="1">
        <v>490</v>
      </c>
      <c r="S833" s="1">
        <v>2110</v>
      </c>
      <c r="AJ833" s="2">
        <v>45168</v>
      </c>
    </row>
    <row r="834" spans="1:36">
      <c r="A834" s="1" t="str">
        <f>"A017A588EA"</f>
        <v>A017A588EA</v>
      </c>
      <c r="B834" s="1" t="str">
        <f t="shared" ref="B834:B897" si="13">"02406911202"</f>
        <v>02406911202</v>
      </c>
      <c r="C834" s="1" t="s">
        <v>13</v>
      </c>
      <c r="D834" s="1" t="s">
        <v>40</v>
      </c>
      <c r="E834" s="1" t="s">
        <v>1023</v>
      </c>
      <c r="F834" s="1" t="s">
        <v>39</v>
      </c>
      <c r="G834" s="1" t="str">
        <f>"02152610784"</f>
        <v>02152610784</v>
      </c>
      <c r="I834" s="1" t="s">
        <v>1024</v>
      </c>
      <c r="L834" s="1" t="s">
        <v>43</v>
      </c>
      <c r="M834" s="1">
        <v>57530.37</v>
      </c>
      <c r="N834" s="1">
        <v>21662.85</v>
      </c>
      <c r="P834" s="1">
        <v>35867.519999999997</v>
      </c>
      <c r="AJ834" s="2">
        <v>45198</v>
      </c>
    </row>
    <row r="835" spans="1:36">
      <c r="A835" s="1" t="str">
        <f>"A017A66479"</f>
        <v>A017A66479</v>
      </c>
      <c r="B835" s="1" t="str">
        <f t="shared" si="13"/>
        <v>02406911202</v>
      </c>
      <c r="C835" s="1" t="s">
        <v>13</v>
      </c>
      <c r="D835" s="1" t="s">
        <v>40</v>
      </c>
      <c r="E835" s="1" t="s">
        <v>1023</v>
      </c>
      <c r="F835" s="1" t="s">
        <v>39</v>
      </c>
      <c r="G835" s="1" t="str">
        <f>"00397360488"</f>
        <v>00397360488</v>
      </c>
      <c r="I835" s="1" t="s">
        <v>1025</v>
      </c>
      <c r="L835" s="1" t="s">
        <v>43</v>
      </c>
      <c r="M835" s="1">
        <v>6550.8</v>
      </c>
      <c r="N835" s="1">
        <v>6550.8</v>
      </c>
      <c r="AJ835" s="2">
        <v>45198</v>
      </c>
    </row>
    <row r="836" spans="1:36">
      <c r="A836" s="1" t="str">
        <f>"A017A7A4FA"</f>
        <v>A017A7A4FA</v>
      </c>
      <c r="B836" s="1" t="str">
        <f t="shared" si="13"/>
        <v>02406911202</v>
      </c>
      <c r="C836" s="1" t="s">
        <v>13</v>
      </c>
      <c r="D836" s="1" t="s">
        <v>40</v>
      </c>
      <c r="E836" s="1" t="s">
        <v>1023</v>
      </c>
      <c r="F836" s="1" t="s">
        <v>39</v>
      </c>
      <c r="G836" s="1" t="str">
        <f>"12300580151"</f>
        <v>12300580151</v>
      </c>
      <c r="I836" s="1" t="s">
        <v>297</v>
      </c>
      <c r="L836" s="1" t="s">
        <v>43</v>
      </c>
      <c r="M836" s="1">
        <v>539096.6</v>
      </c>
      <c r="N836" s="1">
        <v>263103.13</v>
      </c>
      <c r="P836" s="1">
        <v>192861.69</v>
      </c>
      <c r="Q836" s="1">
        <v>83131.78</v>
      </c>
      <c r="AJ836" s="2">
        <v>45198</v>
      </c>
    </row>
    <row r="837" spans="1:36">
      <c r="A837" s="1" t="str">
        <f>"A017AA36CF"</f>
        <v>A017AA36CF</v>
      </c>
      <c r="B837" s="1" t="str">
        <f t="shared" si="13"/>
        <v>02406911202</v>
      </c>
      <c r="C837" s="1" t="s">
        <v>13</v>
      </c>
      <c r="D837" s="1" t="s">
        <v>40</v>
      </c>
      <c r="E837" s="1" t="s">
        <v>1023</v>
      </c>
      <c r="F837" s="1" t="s">
        <v>39</v>
      </c>
      <c r="G837" s="1" t="str">
        <f>"07179150151"</f>
        <v>07179150151</v>
      </c>
      <c r="I837" s="1" t="s">
        <v>862</v>
      </c>
      <c r="L837" s="1" t="s">
        <v>43</v>
      </c>
      <c r="M837" s="1">
        <v>38369.980000000003</v>
      </c>
      <c r="N837" s="1">
        <v>26703.65</v>
      </c>
      <c r="O837" s="1">
        <v>799.92</v>
      </c>
      <c r="P837" s="1">
        <v>5960.41</v>
      </c>
      <c r="Q837" s="1">
        <v>4906</v>
      </c>
      <c r="AJ837" s="2">
        <v>45198</v>
      </c>
    </row>
    <row r="838" spans="1:36">
      <c r="A838" s="1" t="str">
        <f>"A023FCCA71"</f>
        <v>A023FCCA71</v>
      </c>
      <c r="B838" s="1" t="str">
        <f t="shared" si="13"/>
        <v>02406911202</v>
      </c>
      <c r="C838" s="1" t="s">
        <v>13</v>
      </c>
      <c r="D838" s="1" t="s">
        <v>167</v>
      </c>
      <c r="E838" s="1" t="s">
        <v>1026</v>
      </c>
      <c r="F838" s="1" t="s">
        <v>39</v>
      </c>
      <c r="G838" s="1" t="str">
        <f>"04185110154"</f>
        <v>04185110154</v>
      </c>
      <c r="I838" s="1" t="s">
        <v>1027</v>
      </c>
      <c r="J838" s="1" t="s">
        <v>1028</v>
      </c>
      <c r="K838" s="1" t="s">
        <v>1029</v>
      </c>
      <c r="AJ838" s="2">
        <v>45226</v>
      </c>
    </row>
    <row r="839" spans="1:36">
      <c r="A839" s="1" t="str">
        <f>"A023FCCA71"</f>
        <v>A023FCCA71</v>
      </c>
      <c r="B839" s="1" t="str">
        <f t="shared" si="13"/>
        <v>02406911202</v>
      </c>
      <c r="C839" s="1" t="s">
        <v>13</v>
      </c>
      <c r="D839" s="1" t="s">
        <v>167</v>
      </c>
      <c r="E839" s="1" t="s">
        <v>1026</v>
      </c>
      <c r="F839" s="1" t="s">
        <v>39</v>
      </c>
      <c r="G839" s="1" t="str">
        <f>"13144290155"</f>
        <v>13144290155</v>
      </c>
      <c r="I839" s="1" t="s">
        <v>915</v>
      </c>
      <c r="J839" s="1" t="s">
        <v>1028</v>
      </c>
      <c r="K839" s="1" t="s">
        <v>1030</v>
      </c>
      <c r="AJ839" s="2">
        <v>45226</v>
      </c>
    </row>
    <row r="840" spans="1:36">
      <c r="A840" s="1" t="str">
        <f>"A023FCCA71"</f>
        <v>A023FCCA71</v>
      </c>
      <c r="B840" s="1" t="str">
        <f t="shared" si="13"/>
        <v>02406911202</v>
      </c>
      <c r="C840" s="1" t="s">
        <v>13</v>
      </c>
      <c r="D840" s="1" t="s">
        <v>167</v>
      </c>
      <c r="E840" s="1" t="s">
        <v>1026</v>
      </c>
      <c r="F840" s="1" t="s">
        <v>39</v>
      </c>
      <c r="G840" s="1" t="str">
        <f>"07617050153"</f>
        <v>07617050153</v>
      </c>
      <c r="I840" s="1" t="s">
        <v>1031</v>
      </c>
      <c r="J840" s="1" t="s">
        <v>1028</v>
      </c>
      <c r="K840" s="1" t="s">
        <v>1030</v>
      </c>
      <c r="AJ840" s="2">
        <v>45226</v>
      </c>
    </row>
    <row r="841" spans="1:36">
      <c r="A841" s="1" t="str">
        <f>"A023FCCA71"</f>
        <v>A023FCCA71</v>
      </c>
      <c r="B841" s="1" t="str">
        <f t="shared" si="13"/>
        <v>02406911202</v>
      </c>
      <c r="C841" s="1" t="s">
        <v>13</v>
      </c>
      <c r="D841" s="1" t="s">
        <v>167</v>
      </c>
      <c r="E841" s="1" t="s">
        <v>1026</v>
      </c>
      <c r="F841" s="1" t="s">
        <v>39</v>
      </c>
      <c r="I841" s="1" t="s">
        <v>1028</v>
      </c>
      <c r="L841" s="1" t="s">
        <v>43</v>
      </c>
      <c r="M841" s="1">
        <v>5206967.21</v>
      </c>
      <c r="N841" s="1">
        <v>5206967.21</v>
      </c>
      <c r="AH841" s="2">
        <v>45231</v>
      </c>
      <c r="AI841" s="2">
        <v>45565</v>
      </c>
      <c r="AJ841" s="2">
        <v>45226</v>
      </c>
    </row>
    <row r="842" spans="1:36">
      <c r="A842" s="1" t="str">
        <f>"A03E30D524"</f>
        <v>A03E30D524</v>
      </c>
      <c r="B842" s="1" t="str">
        <f t="shared" si="13"/>
        <v>02406911202</v>
      </c>
      <c r="C842" s="1" t="s">
        <v>13</v>
      </c>
      <c r="D842" s="1" t="s">
        <v>40</v>
      </c>
      <c r="E842" s="1" t="s">
        <v>1032</v>
      </c>
      <c r="F842" s="1" t="s">
        <v>39</v>
      </c>
      <c r="G842" s="1" t="str">
        <f>"07195130153"</f>
        <v>07195130153</v>
      </c>
      <c r="I842" s="1" t="s">
        <v>143</v>
      </c>
      <c r="L842" s="1" t="s">
        <v>100</v>
      </c>
      <c r="AJ842" s="2">
        <v>45275</v>
      </c>
    </row>
    <row r="843" spans="1:36">
      <c r="A843" s="1" t="str">
        <f>"A03E30D524"</f>
        <v>A03E30D524</v>
      </c>
      <c r="B843" s="1" t="str">
        <f t="shared" si="13"/>
        <v>02406911202</v>
      </c>
      <c r="C843" s="1" t="s">
        <v>13</v>
      </c>
      <c r="D843" s="1" t="s">
        <v>40</v>
      </c>
      <c r="E843" s="1" t="s">
        <v>1032</v>
      </c>
      <c r="F843" s="1" t="s">
        <v>39</v>
      </c>
      <c r="G843" s="1" t="str">
        <f>"11187430159"</f>
        <v>11187430159</v>
      </c>
      <c r="I843" s="1" t="s">
        <v>476</v>
      </c>
      <c r="L843" s="1" t="s">
        <v>100</v>
      </c>
      <c r="AJ843" s="2">
        <v>45275</v>
      </c>
    </row>
    <row r="844" spans="1:36">
      <c r="A844" s="1" t="str">
        <f>"A02FF47E32"</f>
        <v>A02FF47E32</v>
      </c>
      <c r="B844" s="1" t="str">
        <f t="shared" si="13"/>
        <v>02406911202</v>
      </c>
      <c r="C844" s="1" t="s">
        <v>13</v>
      </c>
      <c r="D844" s="1" t="s">
        <v>40</v>
      </c>
      <c r="E844" s="1" t="s">
        <v>1033</v>
      </c>
      <c r="F844" s="1" t="s">
        <v>39</v>
      </c>
      <c r="G844" s="1" t="str">
        <f>"09238800156"</f>
        <v>09238800156</v>
      </c>
      <c r="I844" s="1" t="s">
        <v>92</v>
      </c>
      <c r="L844" s="1" t="s">
        <v>43</v>
      </c>
      <c r="M844" s="1">
        <v>160509.29999999999</v>
      </c>
      <c r="O844" s="1">
        <v>160509.29999999999</v>
      </c>
      <c r="AJ844" s="2">
        <v>45252</v>
      </c>
    </row>
    <row r="845" spans="1:36">
      <c r="A845" s="1" t="str">
        <f>"A01C5614B0"</f>
        <v>A01C5614B0</v>
      </c>
      <c r="B845" s="1" t="str">
        <f t="shared" si="13"/>
        <v>02406911202</v>
      </c>
      <c r="C845" s="1" t="s">
        <v>13</v>
      </c>
      <c r="D845" s="1" t="s">
        <v>40</v>
      </c>
      <c r="E845" s="1" t="s">
        <v>1034</v>
      </c>
      <c r="F845" s="1" t="s">
        <v>39</v>
      </c>
      <c r="G845" s="1" t="str">
        <f>"11206730159"</f>
        <v>11206730159</v>
      </c>
      <c r="I845" s="1" t="s">
        <v>68</v>
      </c>
      <c r="L845" s="1" t="s">
        <v>43</v>
      </c>
      <c r="M845" s="1">
        <v>426688.52</v>
      </c>
      <c r="N845" s="1">
        <v>278688.52</v>
      </c>
      <c r="O845" s="1">
        <v>148000</v>
      </c>
      <c r="AJ845" s="2">
        <v>45209</v>
      </c>
    </row>
    <row r="846" spans="1:36">
      <c r="A846" s="1" t="str">
        <f>"A034AE983B"</f>
        <v>A034AE983B</v>
      </c>
      <c r="B846" s="1" t="str">
        <f t="shared" si="13"/>
        <v>02406911202</v>
      </c>
      <c r="C846" s="1" t="s">
        <v>13</v>
      </c>
      <c r="D846" s="1" t="s">
        <v>40</v>
      </c>
      <c r="E846" s="1" t="s">
        <v>1034</v>
      </c>
      <c r="F846" s="1" t="s">
        <v>39</v>
      </c>
      <c r="G846" s="1" t="str">
        <f>"11264670156"</f>
        <v>11264670156</v>
      </c>
      <c r="I846" s="1" t="s">
        <v>66</v>
      </c>
      <c r="L846" s="1" t="s">
        <v>43</v>
      </c>
      <c r="M846" s="1">
        <v>573770.49</v>
      </c>
      <c r="N846" s="1">
        <v>81967.210000000006</v>
      </c>
      <c r="O846" s="1">
        <v>491803.28</v>
      </c>
      <c r="AJ846" s="2">
        <v>45259</v>
      </c>
    </row>
    <row r="847" spans="1:36">
      <c r="A847" s="1" t="str">
        <f>"A034B17E2F"</f>
        <v>A034B17E2F</v>
      </c>
      <c r="B847" s="1" t="str">
        <f t="shared" si="13"/>
        <v>02406911202</v>
      </c>
      <c r="C847" s="1" t="s">
        <v>13</v>
      </c>
      <c r="D847" s="1" t="s">
        <v>40</v>
      </c>
      <c r="E847" s="1" t="s">
        <v>1034</v>
      </c>
      <c r="F847" s="1" t="s">
        <v>39</v>
      </c>
      <c r="G847" s="1" t="str">
        <f>"08862820969"</f>
        <v>08862820969</v>
      </c>
      <c r="I847" s="1" t="s">
        <v>147</v>
      </c>
      <c r="L847" s="1" t="s">
        <v>43</v>
      </c>
      <c r="M847" s="1">
        <v>532786.89</v>
      </c>
      <c r="N847" s="1">
        <v>40983.61</v>
      </c>
      <c r="O847" s="1">
        <v>491803.28</v>
      </c>
      <c r="AJ847" s="2">
        <v>45259</v>
      </c>
    </row>
    <row r="848" spans="1:36">
      <c r="A848" s="1" t="str">
        <f>"A034C14EF7"</f>
        <v>A034C14EF7</v>
      </c>
      <c r="B848" s="1" t="str">
        <f t="shared" si="13"/>
        <v>02406911202</v>
      </c>
      <c r="C848" s="1" t="s">
        <v>13</v>
      </c>
      <c r="D848" s="1" t="s">
        <v>40</v>
      </c>
      <c r="E848" s="1" t="s">
        <v>1034</v>
      </c>
      <c r="F848" s="1" t="s">
        <v>39</v>
      </c>
      <c r="G848" s="1" t="str">
        <f>"00674840152"</f>
        <v>00674840152</v>
      </c>
      <c r="I848" s="1" t="s">
        <v>87</v>
      </c>
      <c r="L848" s="1" t="s">
        <v>43</v>
      </c>
      <c r="M848" s="1">
        <v>114754.1</v>
      </c>
      <c r="N848" s="1">
        <v>32786.89</v>
      </c>
      <c r="O848" s="1">
        <v>81967.210000000006</v>
      </c>
      <c r="AJ848" s="2">
        <v>45259</v>
      </c>
    </row>
    <row r="849" spans="1:36">
      <c r="A849" s="1" t="str">
        <f>"A034C2D39C"</f>
        <v>A034C2D39C</v>
      </c>
      <c r="B849" s="1" t="str">
        <f t="shared" si="13"/>
        <v>02406911202</v>
      </c>
      <c r="C849" s="1" t="s">
        <v>13</v>
      </c>
      <c r="D849" s="1" t="s">
        <v>40</v>
      </c>
      <c r="E849" s="1" t="s">
        <v>1034</v>
      </c>
      <c r="F849" s="1" t="s">
        <v>39</v>
      </c>
      <c r="G849" s="1" t="str">
        <f>"11819500965"</f>
        <v>11819500965</v>
      </c>
      <c r="I849" s="1" t="s">
        <v>1035</v>
      </c>
      <c r="L849" s="1" t="s">
        <v>43</v>
      </c>
      <c r="M849" s="1">
        <v>75409.84</v>
      </c>
      <c r="N849" s="1">
        <v>26229.51</v>
      </c>
      <c r="O849" s="1">
        <v>49180.33</v>
      </c>
      <c r="AJ849" s="2">
        <v>45259</v>
      </c>
    </row>
    <row r="850" spans="1:36">
      <c r="A850" s="1" t="str">
        <f>"A034C4790F"</f>
        <v>A034C4790F</v>
      </c>
      <c r="B850" s="1" t="str">
        <f t="shared" si="13"/>
        <v>02406911202</v>
      </c>
      <c r="C850" s="1" t="s">
        <v>13</v>
      </c>
      <c r="D850" s="1" t="s">
        <v>40</v>
      </c>
      <c r="E850" s="1" t="s">
        <v>1034</v>
      </c>
      <c r="F850" s="1" t="s">
        <v>39</v>
      </c>
      <c r="G850" s="1" t="str">
        <f>"07123400157"</f>
        <v>07123400157</v>
      </c>
      <c r="I850" s="1" t="s">
        <v>120</v>
      </c>
      <c r="L850" s="1" t="s">
        <v>43</v>
      </c>
      <c r="M850" s="1">
        <v>20491.8</v>
      </c>
      <c r="N850" s="1">
        <v>4098.3599999999997</v>
      </c>
      <c r="O850" s="1">
        <v>16393.439999999999</v>
      </c>
      <c r="AJ850" s="2">
        <v>45259</v>
      </c>
    </row>
    <row r="851" spans="1:36">
      <c r="A851" s="1" t="str">
        <f>"A034C58717"</f>
        <v>A034C58717</v>
      </c>
      <c r="B851" s="1" t="str">
        <f t="shared" si="13"/>
        <v>02406911202</v>
      </c>
      <c r="C851" s="1" t="s">
        <v>13</v>
      </c>
      <c r="D851" s="1" t="s">
        <v>40</v>
      </c>
      <c r="E851" s="1" t="s">
        <v>1034</v>
      </c>
      <c r="F851" s="1" t="s">
        <v>39</v>
      </c>
      <c r="G851" s="1" t="str">
        <f>"03043200611"</f>
        <v>03043200611</v>
      </c>
      <c r="I851" s="1" t="s">
        <v>1036</v>
      </c>
      <c r="L851" s="1" t="s">
        <v>43</v>
      </c>
      <c r="M851" s="1">
        <v>6557.38</v>
      </c>
      <c r="N851" s="1">
        <v>4098.3599999999997</v>
      </c>
      <c r="O851" s="1">
        <v>2459.02</v>
      </c>
      <c r="AJ851" s="2">
        <v>45259</v>
      </c>
    </row>
    <row r="852" spans="1:36">
      <c r="A852" s="1" t="str">
        <f>"A034C75F03"</f>
        <v>A034C75F03</v>
      </c>
      <c r="B852" s="1" t="str">
        <f t="shared" si="13"/>
        <v>02406911202</v>
      </c>
      <c r="C852" s="1" t="s">
        <v>13</v>
      </c>
      <c r="D852" s="1" t="s">
        <v>40</v>
      </c>
      <c r="E852" s="1" t="s">
        <v>1034</v>
      </c>
      <c r="F852" s="1" t="s">
        <v>39</v>
      </c>
      <c r="G852" s="1" t="str">
        <f>"03544600137"</f>
        <v>03544600137</v>
      </c>
      <c r="I852" s="1" t="s">
        <v>1037</v>
      </c>
      <c r="L852" s="1" t="s">
        <v>43</v>
      </c>
      <c r="M852" s="1">
        <v>18032.78</v>
      </c>
      <c r="N852" s="1">
        <v>4918.03</v>
      </c>
      <c r="O852" s="1">
        <v>13114.75</v>
      </c>
      <c r="AJ852" s="2">
        <v>45259</v>
      </c>
    </row>
    <row r="853" spans="1:36">
      <c r="A853" s="1" t="str">
        <f>"A034C97B13"</f>
        <v>A034C97B13</v>
      </c>
      <c r="B853" s="1" t="str">
        <f t="shared" si="13"/>
        <v>02406911202</v>
      </c>
      <c r="C853" s="1" t="s">
        <v>13</v>
      </c>
      <c r="D853" s="1" t="s">
        <v>40</v>
      </c>
      <c r="E853" s="1" t="s">
        <v>1034</v>
      </c>
      <c r="F853" s="1" t="s">
        <v>39</v>
      </c>
      <c r="G853" s="1" t="str">
        <f>"10985900157"</f>
        <v>10985900157</v>
      </c>
      <c r="I853" s="1" t="s">
        <v>734</v>
      </c>
      <c r="L853" s="1" t="s">
        <v>43</v>
      </c>
      <c r="M853" s="1">
        <v>13114.75</v>
      </c>
      <c r="N853" s="1">
        <v>0</v>
      </c>
      <c r="O853" s="1">
        <v>13114.75</v>
      </c>
      <c r="AJ853" s="2">
        <v>45259</v>
      </c>
    </row>
    <row r="854" spans="1:36">
      <c r="A854" s="1" t="str">
        <f>"A034CADD3A"</f>
        <v>A034CADD3A</v>
      </c>
      <c r="B854" s="1" t="str">
        <f t="shared" si="13"/>
        <v>02406911202</v>
      </c>
      <c r="C854" s="1" t="s">
        <v>13</v>
      </c>
      <c r="D854" s="1" t="s">
        <v>40</v>
      </c>
      <c r="E854" s="1" t="s">
        <v>1034</v>
      </c>
      <c r="F854" s="1" t="s">
        <v>39</v>
      </c>
      <c r="G854" s="1" t="str">
        <f>"09238800156"</f>
        <v>09238800156</v>
      </c>
      <c r="I854" s="1" t="s">
        <v>92</v>
      </c>
      <c r="L854" s="1" t="s">
        <v>43</v>
      </c>
      <c r="M854" s="1">
        <v>159836.07</v>
      </c>
      <c r="N854" s="1">
        <v>61475.41</v>
      </c>
      <c r="O854" s="1">
        <v>98360.66</v>
      </c>
      <c r="AJ854" s="2">
        <v>45259</v>
      </c>
    </row>
    <row r="855" spans="1:36">
      <c r="A855" s="1" t="str">
        <f>"A034D36E48"</f>
        <v>A034D36E48</v>
      </c>
      <c r="B855" s="1" t="str">
        <f t="shared" si="13"/>
        <v>02406911202</v>
      </c>
      <c r="C855" s="1" t="s">
        <v>13</v>
      </c>
      <c r="D855" s="1" t="s">
        <v>40</v>
      </c>
      <c r="E855" s="1" t="s">
        <v>1034</v>
      </c>
      <c r="F855" s="1" t="s">
        <v>39</v>
      </c>
      <c r="G855" s="1" t="str">
        <f>"04263550966"</f>
        <v>04263550966</v>
      </c>
      <c r="I855" s="1" t="s">
        <v>1038</v>
      </c>
      <c r="L855" s="1" t="s">
        <v>43</v>
      </c>
      <c r="M855" s="1">
        <v>106557.38</v>
      </c>
      <c r="N855" s="1">
        <v>102459.02</v>
      </c>
      <c r="O855" s="1">
        <v>4098.3599999999997</v>
      </c>
      <c r="AJ855" s="2">
        <v>45259</v>
      </c>
    </row>
    <row r="856" spans="1:36">
      <c r="A856" s="1" t="str">
        <f>"A034D4F2ED"</f>
        <v>A034D4F2ED</v>
      </c>
      <c r="B856" s="1" t="str">
        <f t="shared" si="13"/>
        <v>02406911202</v>
      </c>
      <c r="C856" s="1" t="s">
        <v>13</v>
      </c>
      <c r="D856" s="1" t="s">
        <v>40</v>
      </c>
      <c r="E856" s="1" t="s">
        <v>1034</v>
      </c>
      <c r="F856" s="1" t="s">
        <v>39</v>
      </c>
      <c r="G856" s="1" t="str">
        <f>"06324460150"</f>
        <v>06324460150</v>
      </c>
      <c r="I856" s="1" t="s">
        <v>451</v>
      </c>
      <c r="L856" s="1" t="s">
        <v>43</v>
      </c>
      <c r="M856" s="1">
        <v>37704.92</v>
      </c>
      <c r="N856" s="1">
        <v>4918.03</v>
      </c>
      <c r="O856" s="1">
        <v>32786.89</v>
      </c>
      <c r="AJ856" s="2">
        <v>45259</v>
      </c>
    </row>
    <row r="857" spans="1:36">
      <c r="A857" s="1" t="str">
        <f>"A034DFA00B"</f>
        <v>A034DFA00B</v>
      </c>
      <c r="B857" s="1" t="str">
        <f t="shared" si="13"/>
        <v>02406911202</v>
      </c>
      <c r="C857" s="1" t="s">
        <v>13</v>
      </c>
      <c r="D857" s="1" t="s">
        <v>40</v>
      </c>
      <c r="E857" s="1" t="s">
        <v>1034</v>
      </c>
      <c r="F857" s="1" t="s">
        <v>39</v>
      </c>
      <c r="G857" s="1" t="str">
        <f>"07279701002"</f>
        <v>07279701002</v>
      </c>
      <c r="I857" s="1" t="s">
        <v>125</v>
      </c>
      <c r="L857" s="1" t="s">
        <v>43</v>
      </c>
      <c r="M857" s="1">
        <v>233606.56</v>
      </c>
      <c r="N857" s="1">
        <v>102459.02</v>
      </c>
      <c r="O857" s="1">
        <v>131147.54</v>
      </c>
      <c r="AJ857" s="2">
        <v>45259</v>
      </c>
    </row>
    <row r="858" spans="1:36">
      <c r="A858" s="1" t="str">
        <f>"A034E1BB43"</f>
        <v>A034E1BB43</v>
      </c>
      <c r="B858" s="1" t="str">
        <f t="shared" si="13"/>
        <v>02406911202</v>
      </c>
      <c r="C858" s="1" t="s">
        <v>13</v>
      </c>
      <c r="D858" s="1" t="s">
        <v>40</v>
      </c>
      <c r="E858" s="1" t="s">
        <v>1034</v>
      </c>
      <c r="F858" s="1" t="s">
        <v>39</v>
      </c>
      <c r="G858" s="1" t="str">
        <f>"02160570426"</f>
        <v>02160570426</v>
      </c>
      <c r="I858" s="1" t="s">
        <v>1039</v>
      </c>
      <c r="L858" s="1" t="s">
        <v>43</v>
      </c>
      <c r="M858" s="1">
        <v>7377.05</v>
      </c>
      <c r="N858" s="1">
        <v>4918.03</v>
      </c>
      <c r="O858" s="1">
        <v>2459.02</v>
      </c>
      <c r="AJ858" s="2">
        <v>45259</v>
      </c>
    </row>
    <row r="859" spans="1:36">
      <c r="A859" s="1" t="str">
        <f>"A02400E0EB"</f>
        <v>A02400E0EB</v>
      </c>
      <c r="B859" s="1" t="str">
        <f t="shared" si="13"/>
        <v>02406911202</v>
      </c>
      <c r="C859" s="1" t="s">
        <v>13</v>
      </c>
      <c r="D859" s="1" t="s">
        <v>40</v>
      </c>
      <c r="E859" s="1" t="s">
        <v>1040</v>
      </c>
      <c r="F859" s="1" t="s">
        <v>39</v>
      </c>
      <c r="G859" s="1" t="str">
        <f>"07435060152"</f>
        <v>07435060152</v>
      </c>
      <c r="I859" s="1" t="s">
        <v>552</v>
      </c>
      <c r="L859" s="1" t="s">
        <v>43</v>
      </c>
      <c r="M859" s="1">
        <v>111168.7</v>
      </c>
      <c r="N859" s="1">
        <v>58708</v>
      </c>
      <c r="O859" s="1">
        <v>35479</v>
      </c>
      <c r="Q859" s="1">
        <v>16981.7</v>
      </c>
      <c r="AJ859" s="2">
        <v>45226</v>
      </c>
    </row>
    <row r="860" spans="1:36">
      <c r="A860" s="1" t="str">
        <f>"A02406CE79"</f>
        <v>A02406CE79</v>
      </c>
      <c r="B860" s="1" t="str">
        <f t="shared" si="13"/>
        <v>02406911202</v>
      </c>
      <c r="C860" s="1" t="s">
        <v>13</v>
      </c>
      <c r="D860" s="1" t="s">
        <v>40</v>
      </c>
      <c r="E860" s="1" t="s">
        <v>1040</v>
      </c>
      <c r="F860" s="1" t="s">
        <v>39</v>
      </c>
      <c r="G860" s="1" t="str">
        <f>"07677821212"</f>
        <v>07677821212</v>
      </c>
      <c r="I860" s="1" t="s">
        <v>1041</v>
      </c>
      <c r="L860" s="1" t="s">
        <v>43</v>
      </c>
      <c r="M860" s="1">
        <v>24150</v>
      </c>
      <c r="N860" s="1">
        <v>3450</v>
      </c>
      <c r="O860" s="1">
        <v>20700</v>
      </c>
      <c r="AJ860" s="2">
        <v>45226</v>
      </c>
    </row>
    <row r="861" spans="1:36">
      <c r="A861" s="1" t="str">
        <f>"A024090C2F"</f>
        <v>A024090C2F</v>
      </c>
      <c r="B861" s="1" t="str">
        <f t="shared" si="13"/>
        <v>02406911202</v>
      </c>
      <c r="C861" s="1" t="s">
        <v>13</v>
      </c>
      <c r="D861" s="1" t="s">
        <v>40</v>
      </c>
      <c r="E861" s="1" t="s">
        <v>1040</v>
      </c>
      <c r="F861" s="1" t="s">
        <v>39</v>
      </c>
      <c r="G861" s="1" t="str">
        <f>"07121831007"</f>
        <v>07121831007</v>
      </c>
      <c r="I861" s="1" t="s">
        <v>737</v>
      </c>
      <c r="L861" s="1" t="s">
        <v>43</v>
      </c>
      <c r="M861" s="1">
        <v>188991.15</v>
      </c>
      <c r="N861" s="1">
        <v>128962.5</v>
      </c>
      <c r="O861" s="1">
        <v>40860.75</v>
      </c>
      <c r="Q861" s="1">
        <v>19167.900000000001</v>
      </c>
      <c r="AJ861" s="2">
        <v>45226</v>
      </c>
    </row>
    <row r="862" spans="1:36">
      <c r="A862" s="1" t="str">
        <f>"A02409A472"</f>
        <v>A02409A472</v>
      </c>
      <c r="B862" s="1" t="str">
        <f t="shared" si="13"/>
        <v>02406911202</v>
      </c>
      <c r="C862" s="1" t="s">
        <v>13</v>
      </c>
      <c r="D862" s="1" t="s">
        <v>40</v>
      </c>
      <c r="E862" s="1" t="s">
        <v>1040</v>
      </c>
      <c r="F862" s="1" t="s">
        <v>39</v>
      </c>
      <c r="G862" s="1" t="str">
        <f>"07393830158"</f>
        <v>07393830158</v>
      </c>
      <c r="I862" s="1" t="s">
        <v>1042</v>
      </c>
      <c r="L862" s="1" t="s">
        <v>43</v>
      </c>
      <c r="M862" s="1">
        <v>29544</v>
      </c>
      <c r="N862" s="1">
        <v>25400</v>
      </c>
      <c r="O862" s="1">
        <v>4070</v>
      </c>
      <c r="Q862" s="1">
        <v>74</v>
      </c>
      <c r="AJ862" s="2">
        <v>45226</v>
      </c>
    </row>
    <row r="863" spans="1:36">
      <c r="A863" s="1" t="str">
        <f>"A0240A7F29"</f>
        <v>A0240A7F29</v>
      </c>
      <c r="B863" s="1" t="str">
        <f t="shared" si="13"/>
        <v>02406911202</v>
      </c>
      <c r="C863" s="1" t="s">
        <v>13</v>
      </c>
      <c r="D863" s="1" t="s">
        <v>40</v>
      </c>
      <c r="E863" s="1" t="s">
        <v>1040</v>
      </c>
      <c r="F863" s="1" t="s">
        <v>39</v>
      </c>
      <c r="G863" s="1" t="str">
        <f>"00721920155"</f>
        <v>00721920155</v>
      </c>
      <c r="I863" s="1" t="s">
        <v>1043</v>
      </c>
      <c r="L863" s="1" t="s">
        <v>43</v>
      </c>
      <c r="M863" s="1">
        <v>9922.5</v>
      </c>
      <c r="Q863" s="1">
        <v>9922.5</v>
      </c>
      <c r="AJ863" s="2">
        <v>45226</v>
      </c>
    </row>
    <row r="864" spans="1:36">
      <c r="A864" s="1" t="str">
        <f>"A0240B3912"</f>
        <v>A0240B3912</v>
      </c>
      <c r="B864" s="1" t="str">
        <f t="shared" si="13"/>
        <v>02406911202</v>
      </c>
      <c r="C864" s="1" t="s">
        <v>13</v>
      </c>
      <c r="D864" s="1" t="s">
        <v>40</v>
      </c>
      <c r="E864" s="1" t="s">
        <v>1040</v>
      </c>
      <c r="F864" s="1" t="s">
        <v>39</v>
      </c>
      <c r="G864" s="1" t="str">
        <f>"07862510018"</f>
        <v>07862510018</v>
      </c>
      <c r="I864" s="1" t="s">
        <v>330</v>
      </c>
      <c r="L864" s="1" t="s">
        <v>43</v>
      </c>
      <c r="M864" s="1">
        <v>158406.5</v>
      </c>
      <c r="N864" s="1">
        <v>114852</v>
      </c>
      <c r="O864" s="1">
        <v>17234.25</v>
      </c>
      <c r="Q864" s="1">
        <v>26320.25</v>
      </c>
      <c r="AJ864" s="2">
        <v>45226</v>
      </c>
    </row>
    <row r="865" spans="1:36">
      <c r="A865" s="1" t="str">
        <f>"A0240C2574"</f>
        <v>A0240C2574</v>
      </c>
      <c r="B865" s="1" t="str">
        <f t="shared" si="13"/>
        <v>02406911202</v>
      </c>
      <c r="C865" s="1" t="s">
        <v>13</v>
      </c>
      <c r="D865" s="1" t="s">
        <v>40</v>
      </c>
      <c r="E865" s="1" t="s">
        <v>1040</v>
      </c>
      <c r="F865" s="1" t="s">
        <v>39</v>
      </c>
      <c r="G865" s="1" t="str">
        <f>"00474010345"</f>
        <v>00474010345</v>
      </c>
      <c r="I865" s="1" t="s">
        <v>1044</v>
      </c>
      <c r="L865" s="1" t="s">
        <v>43</v>
      </c>
      <c r="M865" s="1">
        <v>21900</v>
      </c>
      <c r="O865" s="1">
        <v>21900</v>
      </c>
      <c r="AJ865" s="2">
        <v>45226</v>
      </c>
    </row>
    <row r="866" spans="1:36">
      <c r="A866" s="1" t="str">
        <f>"A022A64037"</f>
        <v>A022A64037</v>
      </c>
      <c r="B866" s="1" t="str">
        <f t="shared" si="13"/>
        <v>02406911202</v>
      </c>
      <c r="C866" s="1" t="s">
        <v>13</v>
      </c>
      <c r="D866" s="1" t="s">
        <v>40</v>
      </c>
      <c r="E866" s="1" t="s">
        <v>1045</v>
      </c>
      <c r="F866" s="1" t="s">
        <v>39</v>
      </c>
      <c r="G866" s="1" t="str">
        <f>"00076670595"</f>
        <v>00076670595</v>
      </c>
      <c r="I866" s="1" t="s">
        <v>219</v>
      </c>
      <c r="L866" s="1" t="s">
        <v>43</v>
      </c>
      <c r="M866" s="1">
        <v>102900</v>
      </c>
      <c r="N866" s="1">
        <v>84000</v>
      </c>
      <c r="Q866" s="1">
        <v>18900</v>
      </c>
      <c r="AJ866" s="2">
        <v>45224</v>
      </c>
    </row>
    <row r="867" spans="1:36">
      <c r="A867" s="1" t="str">
        <f>"A022A73C94"</f>
        <v>A022A73C94</v>
      </c>
      <c r="B867" s="1" t="str">
        <f t="shared" si="13"/>
        <v>02406911202</v>
      </c>
      <c r="C867" s="1" t="s">
        <v>13</v>
      </c>
      <c r="D867" s="1" t="s">
        <v>40</v>
      </c>
      <c r="E867" s="1" t="s">
        <v>1045</v>
      </c>
      <c r="F867" s="1" t="s">
        <v>39</v>
      </c>
      <c r="G867" s="1" t="str">
        <f>"13522771008"</f>
        <v>13522771008</v>
      </c>
      <c r="I867" s="1" t="s">
        <v>1046</v>
      </c>
      <c r="L867" s="1" t="s">
        <v>43</v>
      </c>
      <c r="M867" s="1">
        <v>86010</v>
      </c>
      <c r="N867" s="1">
        <v>82250</v>
      </c>
      <c r="Q867" s="1">
        <v>3760</v>
      </c>
      <c r="AJ867" s="2">
        <v>45224</v>
      </c>
    </row>
    <row r="868" spans="1:36">
      <c r="A868" s="1" t="str">
        <f>"A022A90485"</f>
        <v>A022A90485</v>
      </c>
      <c r="B868" s="1" t="str">
        <f t="shared" si="13"/>
        <v>02406911202</v>
      </c>
      <c r="C868" s="1" t="s">
        <v>13</v>
      </c>
      <c r="D868" s="1" t="s">
        <v>40</v>
      </c>
      <c r="E868" s="1" t="s">
        <v>1045</v>
      </c>
      <c r="F868" s="1" t="s">
        <v>39</v>
      </c>
      <c r="G868" s="1" t="str">
        <f>"09050810960"</f>
        <v>09050810960</v>
      </c>
      <c r="I868" s="1" t="s">
        <v>1047</v>
      </c>
      <c r="L868" s="1" t="s">
        <v>43</v>
      </c>
      <c r="M868" s="1">
        <v>17280</v>
      </c>
      <c r="N868" s="1">
        <v>12000</v>
      </c>
      <c r="Q868" s="1">
        <v>5280</v>
      </c>
      <c r="AJ868" s="2">
        <v>45224</v>
      </c>
    </row>
    <row r="869" spans="1:36">
      <c r="A869" s="1" t="str">
        <f>"A022A9E014"</f>
        <v>A022A9E014</v>
      </c>
      <c r="B869" s="1" t="str">
        <f t="shared" si="13"/>
        <v>02406911202</v>
      </c>
      <c r="C869" s="1" t="s">
        <v>13</v>
      </c>
      <c r="D869" s="1" t="s">
        <v>40</v>
      </c>
      <c r="E869" s="1" t="s">
        <v>1045</v>
      </c>
      <c r="F869" s="1" t="s">
        <v>39</v>
      </c>
      <c r="G869" s="1" t="str">
        <f>"00832400154"</f>
        <v>00832400154</v>
      </c>
      <c r="I869" s="1" t="s">
        <v>641</v>
      </c>
      <c r="L869" s="1" t="s">
        <v>43</v>
      </c>
      <c r="M869" s="1">
        <v>62530</v>
      </c>
      <c r="N869" s="1">
        <v>50700</v>
      </c>
      <c r="Q869" s="1">
        <v>11830</v>
      </c>
      <c r="AJ869" s="2">
        <v>45224</v>
      </c>
    </row>
    <row r="870" spans="1:36">
      <c r="A870" s="1" t="str">
        <f>"A0316CD7B7"</f>
        <v>A0316CD7B7</v>
      </c>
      <c r="B870" s="1" t="str">
        <f t="shared" si="13"/>
        <v>02406911202</v>
      </c>
      <c r="C870" s="1" t="s">
        <v>13</v>
      </c>
      <c r="D870" s="1" t="s">
        <v>40</v>
      </c>
      <c r="E870" s="1" t="s">
        <v>1048</v>
      </c>
      <c r="F870" s="1" t="s">
        <v>39</v>
      </c>
      <c r="G870" s="1" t="str">
        <f>"00440180545"</f>
        <v>00440180545</v>
      </c>
      <c r="I870" s="1" t="s">
        <v>1049</v>
      </c>
      <c r="L870" s="1" t="s">
        <v>43</v>
      </c>
      <c r="M870" s="1">
        <v>6595</v>
      </c>
      <c r="N870" s="1">
        <v>3500</v>
      </c>
      <c r="O870" s="1">
        <v>1500</v>
      </c>
      <c r="P870" s="1">
        <v>1095</v>
      </c>
      <c r="Q870" s="1">
        <v>500</v>
      </c>
      <c r="AJ870" s="2">
        <v>45254</v>
      </c>
    </row>
    <row r="871" spans="1:36">
      <c r="A871" s="1" t="str">
        <f>"A0316F698C"</f>
        <v>A0316F698C</v>
      </c>
      <c r="B871" s="1" t="str">
        <f t="shared" si="13"/>
        <v>02406911202</v>
      </c>
      <c r="C871" s="1" t="s">
        <v>13</v>
      </c>
      <c r="D871" s="1" t="s">
        <v>40</v>
      </c>
      <c r="E871" s="1" t="s">
        <v>1048</v>
      </c>
      <c r="F871" s="1" t="s">
        <v>39</v>
      </c>
      <c r="G871" s="1" t="str">
        <f>"01471280162"</f>
        <v>01471280162</v>
      </c>
      <c r="I871" s="1" t="s">
        <v>1050</v>
      </c>
      <c r="L871" s="1" t="s">
        <v>43</v>
      </c>
      <c r="M871" s="1">
        <v>57119</v>
      </c>
      <c r="N871" s="1">
        <v>24000</v>
      </c>
      <c r="O871" s="1">
        <v>25000</v>
      </c>
      <c r="P871" s="1">
        <v>8119</v>
      </c>
      <c r="AJ871" s="2">
        <v>45254</v>
      </c>
    </row>
    <row r="872" spans="1:36">
      <c r="A872" s="1" t="str">
        <f>"A03171317D"</f>
        <v>A03171317D</v>
      </c>
      <c r="B872" s="1" t="str">
        <f t="shared" si="13"/>
        <v>02406911202</v>
      </c>
      <c r="C872" s="1" t="s">
        <v>13</v>
      </c>
      <c r="D872" s="1" t="s">
        <v>40</v>
      </c>
      <c r="E872" s="1" t="s">
        <v>1048</v>
      </c>
      <c r="F872" s="1" t="s">
        <v>39</v>
      </c>
      <c r="G872" s="1" t="str">
        <f>"MRCFNC59S60A013N"</f>
        <v>MRCFNC59S60A013N</v>
      </c>
      <c r="I872" s="1" t="s">
        <v>1051</v>
      </c>
      <c r="L872" s="1" t="s">
        <v>43</v>
      </c>
      <c r="M872" s="1">
        <v>32265</v>
      </c>
      <c r="N872" s="1">
        <v>10000</v>
      </c>
      <c r="O872" s="1">
        <v>18000</v>
      </c>
      <c r="P872" s="1">
        <v>765</v>
      </c>
      <c r="Q872" s="1">
        <v>3500</v>
      </c>
      <c r="AJ872" s="2">
        <v>45254</v>
      </c>
    </row>
    <row r="873" spans="1:36">
      <c r="A873" s="1" t="str">
        <f>"A03172F896"</f>
        <v>A03172F896</v>
      </c>
      <c r="B873" s="1" t="str">
        <f t="shared" si="13"/>
        <v>02406911202</v>
      </c>
      <c r="C873" s="1" t="s">
        <v>13</v>
      </c>
      <c r="D873" s="1" t="s">
        <v>40</v>
      </c>
      <c r="E873" s="1" t="s">
        <v>1048</v>
      </c>
      <c r="F873" s="1" t="s">
        <v>39</v>
      </c>
      <c r="G873" s="1" t="str">
        <f>"00314470121"</f>
        <v>00314470121</v>
      </c>
      <c r="I873" s="1" t="s">
        <v>878</v>
      </c>
      <c r="L873" s="1" t="s">
        <v>43</v>
      </c>
      <c r="M873" s="1">
        <v>11540</v>
      </c>
      <c r="N873" s="1">
        <v>3000</v>
      </c>
      <c r="O873" s="1">
        <v>6000</v>
      </c>
      <c r="P873" s="1">
        <v>1740</v>
      </c>
      <c r="Q873" s="1">
        <v>800</v>
      </c>
      <c r="AJ873" s="2">
        <v>45254</v>
      </c>
    </row>
    <row r="874" spans="1:36">
      <c r="A874" s="1" t="str">
        <f>"A031743917"</f>
        <v>A031743917</v>
      </c>
      <c r="B874" s="1" t="str">
        <f t="shared" si="13"/>
        <v>02406911202</v>
      </c>
      <c r="C874" s="1" t="s">
        <v>13</v>
      </c>
      <c r="D874" s="1" t="s">
        <v>40</v>
      </c>
      <c r="E874" s="1" t="s">
        <v>1048</v>
      </c>
      <c r="F874" s="1" t="s">
        <v>39</v>
      </c>
      <c r="G874" s="1" t="str">
        <f>"01693020206"</f>
        <v>01693020206</v>
      </c>
      <c r="I874" s="1" t="s">
        <v>1052</v>
      </c>
      <c r="L874" s="1" t="s">
        <v>43</v>
      </c>
      <c r="M874" s="1">
        <v>3018</v>
      </c>
      <c r="N874" s="1">
        <v>1700</v>
      </c>
      <c r="P874" s="1">
        <v>918</v>
      </c>
      <c r="Q874" s="1">
        <v>400</v>
      </c>
      <c r="AJ874" s="2">
        <v>45254</v>
      </c>
    </row>
    <row r="875" spans="1:36">
      <c r="A875" s="1" t="str">
        <f>"A03175EF5D"</f>
        <v>A03175EF5D</v>
      </c>
      <c r="B875" s="1" t="str">
        <f t="shared" si="13"/>
        <v>02406911202</v>
      </c>
      <c r="C875" s="1" t="s">
        <v>13</v>
      </c>
      <c r="D875" s="1" t="s">
        <v>40</v>
      </c>
      <c r="E875" s="1" t="s">
        <v>1048</v>
      </c>
      <c r="F875" s="1" t="s">
        <v>39</v>
      </c>
      <c r="G875" s="1" t="str">
        <f>"06678850725"</f>
        <v>06678850725</v>
      </c>
      <c r="I875" s="1" t="s">
        <v>1053</v>
      </c>
      <c r="L875" s="1" t="s">
        <v>43</v>
      </c>
      <c r="M875" s="1">
        <v>1238.99</v>
      </c>
      <c r="P875" s="1">
        <v>1238.99</v>
      </c>
      <c r="AJ875" s="2">
        <v>45254</v>
      </c>
    </row>
    <row r="876" spans="1:36">
      <c r="A876" s="1" t="str">
        <f>"A031771F0B"</f>
        <v>A031771F0B</v>
      </c>
      <c r="B876" s="1" t="str">
        <f t="shared" si="13"/>
        <v>02406911202</v>
      </c>
      <c r="C876" s="1" t="s">
        <v>13</v>
      </c>
      <c r="D876" s="1" t="s">
        <v>40</v>
      </c>
      <c r="E876" s="1" t="s">
        <v>1048</v>
      </c>
      <c r="F876" s="1" t="s">
        <v>39</v>
      </c>
      <c r="G876" s="1" t="str">
        <f>"02129190373"</f>
        <v>02129190373</v>
      </c>
      <c r="I876" s="1" t="s">
        <v>968</v>
      </c>
      <c r="L876" s="1" t="s">
        <v>43</v>
      </c>
      <c r="M876" s="1">
        <v>532</v>
      </c>
      <c r="P876" s="1">
        <v>232</v>
      </c>
      <c r="Q876" s="1">
        <v>300</v>
      </c>
      <c r="AJ876" s="2">
        <v>45254</v>
      </c>
    </row>
    <row r="877" spans="1:36">
      <c r="A877" s="1" t="str">
        <f>"A008402084"</f>
        <v>A008402084</v>
      </c>
      <c r="B877" s="1" t="str">
        <f t="shared" si="13"/>
        <v>02406911202</v>
      </c>
      <c r="C877" s="1" t="s">
        <v>13</v>
      </c>
      <c r="D877" s="1" t="s">
        <v>40</v>
      </c>
      <c r="E877" s="1" t="s">
        <v>1054</v>
      </c>
      <c r="F877" s="1" t="s">
        <v>39</v>
      </c>
      <c r="G877" s="1" t="str">
        <f>"01944260221"</f>
        <v>01944260221</v>
      </c>
      <c r="I877" s="1" t="s">
        <v>427</v>
      </c>
      <c r="L877" s="1" t="s">
        <v>43</v>
      </c>
      <c r="M877" s="1">
        <v>201500</v>
      </c>
      <c r="O877" s="1">
        <v>125250</v>
      </c>
      <c r="P877" s="1">
        <v>76250</v>
      </c>
      <c r="AJ877" s="2">
        <v>45252</v>
      </c>
    </row>
    <row r="878" spans="1:36">
      <c r="A878" s="1" t="str">
        <f>"A03BCF772F"</f>
        <v>A03BCF772F</v>
      </c>
      <c r="B878" s="1" t="str">
        <f t="shared" si="13"/>
        <v>02406911202</v>
      </c>
      <c r="C878" s="1" t="s">
        <v>13</v>
      </c>
      <c r="D878" s="1" t="s">
        <v>40</v>
      </c>
      <c r="E878" s="1" t="s">
        <v>1055</v>
      </c>
      <c r="F878" s="1" t="s">
        <v>39</v>
      </c>
      <c r="G878" s="1" t="str">
        <f>"07862510018"</f>
        <v>07862510018</v>
      </c>
      <c r="I878" s="1" t="s">
        <v>330</v>
      </c>
      <c r="L878" s="1" t="s">
        <v>43</v>
      </c>
      <c r="M878" s="1">
        <v>35500</v>
      </c>
      <c r="O878" s="1">
        <v>35500</v>
      </c>
      <c r="AJ878" s="2">
        <v>45287</v>
      </c>
    </row>
    <row r="879" spans="1:36">
      <c r="A879" s="1" t="str">
        <f>"A04145F871"</f>
        <v>A04145F871</v>
      </c>
      <c r="B879" s="1" t="str">
        <f t="shared" si="13"/>
        <v>02406911202</v>
      </c>
      <c r="C879" s="1" t="s">
        <v>13</v>
      </c>
      <c r="D879" s="1" t="s">
        <v>40</v>
      </c>
      <c r="E879" s="1" t="s">
        <v>1056</v>
      </c>
      <c r="F879" s="1" t="s">
        <v>39</v>
      </c>
      <c r="G879" s="1" t="str">
        <f>"01897730659"</f>
        <v>01897730659</v>
      </c>
      <c r="I879" s="1" t="s">
        <v>1057</v>
      </c>
      <c r="L879" s="1" t="s">
        <v>43</v>
      </c>
      <c r="M879" s="1">
        <v>74999.360000000001</v>
      </c>
      <c r="O879" s="1">
        <v>74999.360000000001</v>
      </c>
      <c r="AJ879" s="2">
        <v>45287</v>
      </c>
    </row>
    <row r="880" spans="1:36">
      <c r="A880" s="1" t="str">
        <f>"A03BAC89E1"</f>
        <v>A03BAC89E1</v>
      </c>
      <c r="B880" s="1" t="str">
        <f t="shared" si="13"/>
        <v>02406911202</v>
      </c>
      <c r="C880" s="1" t="s">
        <v>13</v>
      </c>
      <c r="D880" s="1" t="s">
        <v>40</v>
      </c>
      <c r="E880" s="1" t="s">
        <v>1058</v>
      </c>
      <c r="F880" s="1" t="s">
        <v>39</v>
      </c>
      <c r="G880" s="1" t="str">
        <f>"01153330426"</f>
        <v>01153330426</v>
      </c>
      <c r="I880" s="1" t="s">
        <v>693</v>
      </c>
      <c r="L880" s="1" t="s">
        <v>43</v>
      </c>
      <c r="M880" s="1">
        <v>94230</v>
      </c>
      <c r="O880" s="1">
        <v>94230</v>
      </c>
      <c r="AJ880" s="2">
        <v>45281</v>
      </c>
    </row>
    <row r="881" spans="1:36">
      <c r="A881" s="1" t="str">
        <f>"A039EAA5E8"</f>
        <v>A039EAA5E8</v>
      </c>
      <c r="B881" s="1" t="str">
        <f t="shared" si="13"/>
        <v>02406911202</v>
      </c>
      <c r="C881" s="1" t="s">
        <v>13</v>
      </c>
      <c r="D881" s="1" t="s">
        <v>40</v>
      </c>
      <c r="E881" s="1" t="s">
        <v>1059</v>
      </c>
      <c r="F881" s="1" t="s">
        <v>39</v>
      </c>
      <c r="G881" s="1" t="str">
        <f>"00674840152"</f>
        <v>00674840152</v>
      </c>
      <c r="I881" s="1" t="s">
        <v>87</v>
      </c>
      <c r="L881" s="1" t="s">
        <v>43</v>
      </c>
      <c r="M881" s="1">
        <v>69792.05</v>
      </c>
      <c r="O881" s="1">
        <v>69792.05</v>
      </c>
      <c r="AJ881" s="2">
        <v>45280</v>
      </c>
    </row>
    <row r="882" spans="1:36">
      <c r="A882" s="1" t="str">
        <f>"A00092E41A"</f>
        <v>A00092E41A</v>
      </c>
      <c r="B882" s="1" t="str">
        <f t="shared" si="13"/>
        <v>02406911202</v>
      </c>
      <c r="C882" s="1" t="s">
        <v>13</v>
      </c>
      <c r="D882" s="1" t="s">
        <v>40</v>
      </c>
      <c r="E882" s="1" t="s">
        <v>1060</v>
      </c>
      <c r="F882" s="1" t="s">
        <v>39</v>
      </c>
      <c r="G882" s="1" t="str">
        <f>"03578230108"</f>
        <v>03578230108</v>
      </c>
      <c r="I882" s="1" t="s">
        <v>1061</v>
      </c>
      <c r="L882" s="1" t="s">
        <v>43</v>
      </c>
      <c r="M882" s="1">
        <v>77580</v>
      </c>
      <c r="O882" s="1">
        <v>77580</v>
      </c>
      <c r="AJ882" s="2">
        <v>45142</v>
      </c>
    </row>
    <row r="883" spans="1:36">
      <c r="A883" s="1" t="str">
        <f>"A02669E38C"</f>
        <v>A02669E38C</v>
      </c>
      <c r="B883" s="1" t="str">
        <f t="shared" si="13"/>
        <v>02406911202</v>
      </c>
      <c r="C883" s="1" t="s">
        <v>13</v>
      </c>
      <c r="D883" s="1" t="s">
        <v>40</v>
      </c>
      <c r="E883" s="1" t="s">
        <v>1062</v>
      </c>
      <c r="F883" s="1" t="s">
        <v>39</v>
      </c>
      <c r="G883" s="1" t="str">
        <f>"00225500164"</f>
        <v>00225500164</v>
      </c>
      <c r="I883" s="1" t="s">
        <v>1063</v>
      </c>
      <c r="L883" s="1" t="s">
        <v>43</v>
      </c>
      <c r="M883" s="1">
        <v>204000</v>
      </c>
      <c r="O883" s="1">
        <v>204000</v>
      </c>
      <c r="AJ883" s="2">
        <v>45236</v>
      </c>
    </row>
    <row r="884" spans="1:36">
      <c r="A884" s="1" t="str">
        <f>"A014ED0C97"</f>
        <v>A014ED0C97</v>
      </c>
      <c r="B884" s="1" t="str">
        <f t="shared" si="13"/>
        <v>02406911202</v>
      </c>
      <c r="C884" s="1" t="s">
        <v>13</v>
      </c>
      <c r="D884" s="1" t="s">
        <v>40</v>
      </c>
      <c r="E884" s="1" t="s">
        <v>1064</v>
      </c>
      <c r="F884" s="1" t="s">
        <v>39</v>
      </c>
      <c r="G884" s="1" t="str">
        <f>"00228060349"</f>
        <v>00228060349</v>
      </c>
      <c r="I884" s="1" t="s">
        <v>1065</v>
      </c>
      <c r="L884" s="1" t="s">
        <v>43</v>
      </c>
      <c r="M884" s="1">
        <v>17808000</v>
      </c>
      <c r="O884" s="1">
        <v>17808000</v>
      </c>
      <c r="AJ884" s="2">
        <v>45198</v>
      </c>
    </row>
    <row r="885" spans="1:36">
      <c r="A885" s="1" t="str">
        <f>"A02BE0DA93"</f>
        <v>A02BE0DA93</v>
      </c>
      <c r="B885" s="1" t="str">
        <f t="shared" si="13"/>
        <v>02406911202</v>
      </c>
      <c r="C885" s="1" t="s">
        <v>13</v>
      </c>
      <c r="D885" s="1" t="s">
        <v>40</v>
      </c>
      <c r="E885" s="1" t="s">
        <v>1066</v>
      </c>
      <c r="F885" s="1" t="s">
        <v>39</v>
      </c>
      <c r="G885" s="1" t="str">
        <f>"09273000969"</f>
        <v>09273000969</v>
      </c>
      <c r="I885" s="1" t="s">
        <v>1007</v>
      </c>
      <c r="L885" s="1" t="s">
        <v>43</v>
      </c>
      <c r="M885" s="1">
        <v>57443.839999999997</v>
      </c>
      <c r="N885" s="1">
        <v>36460</v>
      </c>
      <c r="O885" s="1">
        <v>6314</v>
      </c>
      <c r="P885" s="1">
        <v>1200</v>
      </c>
      <c r="Q885" s="1">
        <v>13080</v>
      </c>
      <c r="S885" s="1">
        <v>389.84</v>
      </c>
      <c r="AJ885" s="2">
        <v>45245</v>
      </c>
    </row>
    <row r="886" spans="1:36">
      <c r="A886" s="1" t="str">
        <f>"A02BE1C6F5"</f>
        <v>A02BE1C6F5</v>
      </c>
      <c r="B886" s="1" t="str">
        <f t="shared" si="13"/>
        <v>02406911202</v>
      </c>
      <c r="C886" s="1" t="s">
        <v>13</v>
      </c>
      <c r="D886" s="1" t="s">
        <v>40</v>
      </c>
      <c r="E886" s="1" t="s">
        <v>1067</v>
      </c>
      <c r="F886" s="1" t="s">
        <v>39</v>
      </c>
      <c r="M886" s="1">
        <v>336.96</v>
      </c>
      <c r="AJ886" s="2">
        <v>45245</v>
      </c>
    </row>
    <row r="887" spans="1:36">
      <c r="A887" s="1" t="str">
        <f>"A02BE2700B"</f>
        <v>A02BE2700B</v>
      </c>
      <c r="B887" s="1" t="str">
        <f t="shared" si="13"/>
        <v>02406911202</v>
      </c>
      <c r="C887" s="1" t="s">
        <v>13</v>
      </c>
      <c r="D887" s="1" t="s">
        <v>40</v>
      </c>
      <c r="E887" s="1" t="s">
        <v>1068</v>
      </c>
      <c r="F887" s="1" t="s">
        <v>39</v>
      </c>
      <c r="M887" s="1">
        <v>13980</v>
      </c>
      <c r="AJ887" s="2">
        <v>45245</v>
      </c>
    </row>
    <row r="888" spans="1:36">
      <c r="A888" s="1" t="str">
        <f>"A02BE404AB"</f>
        <v>A02BE404AB</v>
      </c>
      <c r="B888" s="1" t="str">
        <f t="shared" si="13"/>
        <v>02406911202</v>
      </c>
      <c r="C888" s="1" t="s">
        <v>13</v>
      </c>
      <c r="D888" s="1" t="s">
        <v>40</v>
      </c>
      <c r="E888" s="1" t="s">
        <v>1069</v>
      </c>
      <c r="F888" s="1" t="s">
        <v>39</v>
      </c>
      <c r="G888" s="1" t="str">
        <f>"04192740969"</f>
        <v>04192740969</v>
      </c>
      <c r="I888" s="1" t="s">
        <v>1005</v>
      </c>
      <c r="L888" s="1" t="s">
        <v>43</v>
      </c>
      <c r="M888" s="1">
        <v>19533.919999999998</v>
      </c>
      <c r="N888" s="1">
        <v>18672</v>
      </c>
      <c r="O888" s="1">
        <v>154</v>
      </c>
      <c r="P888" s="1">
        <v>215.6</v>
      </c>
      <c r="R888" s="1">
        <v>3.08</v>
      </c>
      <c r="S888" s="1">
        <v>489.24</v>
      </c>
      <c r="AJ888" s="2">
        <v>45245</v>
      </c>
    </row>
    <row r="889" spans="1:36">
      <c r="A889" s="1" t="str">
        <f>"A02BE4F10D"</f>
        <v>A02BE4F10D</v>
      </c>
      <c r="B889" s="1" t="str">
        <f t="shared" si="13"/>
        <v>02406911202</v>
      </c>
      <c r="C889" s="1" t="s">
        <v>13</v>
      </c>
      <c r="D889" s="1" t="s">
        <v>40</v>
      </c>
      <c r="E889" s="1" t="s">
        <v>1070</v>
      </c>
      <c r="F889" s="1" t="s">
        <v>39</v>
      </c>
      <c r="G889" s="1" t="str">
        <f>"04192740969"</f>
        <v>04192740969</v>
      </c>
      <c r="I889" s="1" t="s">
        <v>1005</v>
      </c>
      <c r="L889" s="1" t="s">
        <v>43</v>
      </c>
      <c r="M889" s="1">
        <v>32366.799999999999</v>
      </c>
      <c r="N889" s="1">
        <v>15200</v>
      </c>
      <c r="O889" s="1">
        <v>1372</v>
      </c>
      <c r="P889" s="1">
        <v>342</v>
      </c>
      <c r="Q889" s="1">
        <v>8550</v>
      </c>
      <c r="R889" s="1">
        <v>2116.8000000000002</v>
      </c>
      <c r="S889" s="1">
        <v>4786</v>
      </c>
      <c r="AJ889" s="2">
        <v>45245</v>
      </c>
    </row>
    <row r="890" spans="1:36">
      <c r="A890" s="1" t="str">
        <f>"A02BE5CBC4"</f>
        <v>A02BE5CBC4</v>
      </c>
      <c r="B890" s="1" t="str">
        <f t="shared" si="13"/>
        <v>02406911202</v>
      </c>
      <c r="C890" s="1" t="s">
        <v>13</v>
      </c>
      <c r="D890" s="1" t="s">
        <v>40</v>
      </c>
      <c r="E890" s="1" t="s">
        <v>1071</v>
      </c>
      <c r="F890" s="1" t="s">
        <v>39</v>
      </c>
      <c r="G890" s="1" t="str">
        <f>"04192740969"</f>
        <v>04192740969</v>
      </c>
      <c r="I890" s="1" t="s">
        <v>1005</v>
      </c>
      <c r="L890" s="1" t="s">
        <v>43</v>
      </c>
      <c r="M890" s="1">
        <v>9004</v>
      </c>
      <c r="N890" s="1">
        <v>4090</v>
      </c>
      <c r="O890" s="1">
        <v>1512</v>
      </c>
      <c r="P890" s="1">
        <v>168</v>
      </c>
      <c r="Q890" s="1">
        <v>3192</v>
      </c>
      <c r="S890" s="1">
        <v>42</v>
      </c>
      <c r="AJ890" s="2">
        <v>45245</v>
      </c>
    </row>
    <row r="891" spans="1:36">
      <c r="A891" s="1" t="str">
        <f>"A02BE674DA"</f>
        <v>A02BE674DA</v>
      </c>
      <c r="B891" s="1" t="str">
        <f t="shared" si="13"/>
        <v>02406911202</v>
      </c>
      <c r="C891" s="1" t="s">
        <v>13</v>
      </c>
      <c r="D891" s="1" t="s">
        <v>40</v>
      </c>
      <c r="E891" s="1" t="s">
        <v>1072</v>
      </c>
      <c r="F891" s="1" t="s">
        <v>39</v>
      </c>
      <c r="G891" s="1" t="str">
        <f>"06111530637"</f>
        <v>06111530637</v>
      </c>
      <c r="I891" s="1" t="s">
        <v>1073</v>
      </c>
      <c r="L891" s="1" t="s">
        <v>43</v>
      </c>
      <c r="M891" s="1">
        <v>3108</v>
      </c>
      <c r="N891" s="1">
        <v>1776</v>
      </c>
      <c r="O891" s="1">
        <v>420</v>
      </c>
      <c r="R891" s="1">
        <v>528</v>
      </c>
      <c r="S891" s="1">
        <v>384</v>
      </c>
      <c r="AJ891" s="2">
        <v>45245</v>
      </c>
    </row>
    <row r="892" spans="1:36">
      <c r="A892" s="1" t="str">
        <f>"A02BE72DEB"</f>
        <v>A02BE72DEB</v>
      </c>
      <c r="B892" s="1" t="str">
        <f t="shared" si="13"/>
        <v>02406911202</v>
      </c>
      <c r="C892" s="1" t="s">
        <v>13</v>
      </c>
      <c r="D892" s="1" t="s">
        <v>40</v>
      </c>
      <c r="E892" s="1" t="s">
        <v>1074</v>
      </c>
      <c r="F892" s="1" t="s">
        <v>39</v>
      </c>
      <c r="G892" s="1" t="str">
        <f>"06111530637"</f>
        <v>06111530637</v>
      </c>
      <c r="I892" s="1" t="s">
        <v>1073</v>
      </c>
      <c r="L892" s="1" t="s">
        <v>43</v>
      </c>
      <c r="M892" s="1">
        <v>2336</v>
      </c>
      <c r="N892" s="1">
        <v>1400</v>
      </c>
      <c r="O892" s="1">
        <v>880</v>
      </c>
      <c r="S892" s="1">
        <v>56</v>
      </c>
      <c r="AJ892" s="2">
        <v>45245</v>
      </c>
    </row>
    <row r="893" spans="1:36">
      <c r="A893" s="1" t="str">
        <f>"A02BE7720F"</f>
        <v>A02BE7720F</v>
      </c>
      <c r="B893" s="1" t="str">
        <f t="shared" si="13"/>
        <v>02406911202</v>
      </c>
      <c r="C893" s="1" t="s">
        <v>13</v>
      </c>
      <c r="D893" s="1" t="s">
        <v>40</v>
      </c>
      <c r="E893" s="1" t="s">
        <v>1075</v>
      </c>
      <c r="F893" s="1" t="s">
        <v>39</v>
      </c>
      <c r="G893" s="1" t="str">
        <f>"06111530637"</f>
        <v>06111530637</v>
      </c>
      <c r="I893" s="1" t="s">
        <v>1073</v>
      </c>
      <c r="L893" s="1" t="s">
        <v>43</v>
      </c>
      <c r="M893" s="1">
        <v>2448</v>
      </c>
      <c r="N893" s="1">
        <v>620</v>
      </c>
      <c r="O893" s="1">
        <v>240</v>
      </c>
      <c r="Q893" s="1">
        <v>744</v>
      </c>
      <c r="S893" s="1">
        <v>844</v>
      </c>
      <c r="AJ893" s="2">
        <v>45245</v>
      </c>
    </row>
    <row r="894" spans="1:36">
      <c r="A894" s="1" t="str">
        <f>"A02BE86E6C"</f>
        <v>A02BE86E6C</v>
      </c>
      <c r="B894" s="1" t="str">
        <f t="shared" si="13"/>
        <v>02406911202</v>
      </c>
      <c r="C894" s="1" t="s">
        <v>13</v>
      </c>
      <c r="D894" s="1" t="s">
        <v>40</v>
      </c>
      <c r="E894" s="1" t="s">
        <v>1076</v>
      </c>
      <c r="F894" s="1" t="s">
        <v>39</v>
      </c>
      <c r="G894" s="1" t="str">
        <f>"06111530637"</f>
        <v>06111530637</v>
      </c>
      <c r="I894" s="1" t="s">
        <v>1073</v>
      </c>
      <c r="L894" s="1" t="s">
        <v>43</v>
      </c>
      <c r="M894" s="1">
        <v>1176</v>
      </c>
      <c r="O894" s="1">
        <v>1176</v>
      </c>
      <c r="AJ894" s="2">
        <v>45245</v>
      </c>
    </row>
    <row r="895" spans="1:36">
      <c r="A895" s="1" t="str">
        <f>"A02BE8A1BD"</f>
        <v>A02BE8A1BD</v>
      </c>
      <c r="B895" s="1" t="str">
        <f t="shared" si="13"/>
        <v>02406911202</v>
      </c>
      <c r="C895" s="1" t="s">
        <v>13</v>
      </c>
      <c r="D895" s="1" t="s">
        <v>40</v>
      </c>
      <c r="E895" s="1" t="s">
        <v>1077</v>
      </c>
      <c r="F895" s="1" t="s">
        <v>39</v>
      </c>
      <c r="M895" s="1">
        <v>1314</v>
      </c>
      <c r="AJ895" s="2">
        <v>45245</v>
      </c>
    </row>
    <row r="896" spans="1:36">
      <c r="A896" s="1" t="str">
        <f>"A02BE91782"</f>
        <v>A02BE91782</v>
      </c>
      <c r="B896" s="1" t="str">
        <f t="shared" si="13"/>
        <v>02406911202</v>
      </c>
      <c r="C896" s="1" t="s">
        <v>13</v>
      </c>
      <c r="D896" s="1" t="s">
        <v>40</v>
      </c>
      <c r="E896" s="1" t="s">
        <v>1078</v>
      </c>
      <c r="F896" s="1" t="s">
        <v>39</v>
      </c>
      <c r="G896" s="1" t="str">
        <f>"06111530637"</f>
        <v>06111530637</v>
      </c>
      <c r="I896" s="1" t="s">
        <v>1073</v>
      </c>
      <c r="L896" s="1" t="s">
        <v>43</v>
      </c>
      <c r="M896" s="1">
        <v>192.4</v>
      </c>
      <c r="O896" s="1">
        <v>148</v>
      </c>
      <c r="S896" s="1">
        <v>44.4</v>
      </c>
      <c r="AJ896" s="2">
        <v>45245</v>
      </c>
    </row>
    <row r="897" spans="1:36">
      <c r="A897" s="1" t="str">
        <f>"A02BE99E1A"</f>
        <v>A02BE99E1A</v>
      </c>
      <c r="B897" s="1" t="str">
        <f t="shared" si="13"/>
        <v>02406911202</v>
      </c>
      <c r="C897" s="1" t="s">
        <v>13</v>
      </c>
      <c r="D897" s="1" t="s">
        <v>40</v>
      </c>
      <c r="E897" s="1" t="s">
        <v>1079</v>
      </c>
      <c r="F897" s="1" t="s">
        <v>39</v>
      </c>
      <c r="M897" s="1">
        <v>88</v>
      </c>
      <c r="AJ897" s="2">
        <v>45245</v>
      </c>
    </row>
    <row r="898" spans="1:36">
      <c r="A898" s="1" t="str">
        <f>"A02BE9D16B"</f>
        <v>A02BE9D16B</v>
      </c>
      <c r="B898" s="1" t="str">
        <f t="shared" ref="B898:B961" si="14">"02406911202"</f>
        <v>02406911202</v>
      </c>
      <c r="C898" s="1" t="s">
        <v>13</v>
      </c>
      <c r="D898" s="1" t="s">
        <v>40</v>
      </c>
      <c r="E898" s="1" t="s">
        <v>1080</v>
      </c>
      <c r="F898" s="1" t="s">
        <v>39</v>
      </c>
      <c r="G898" s="1" t="str">
        <f>"04192740969"</f>
        <v>04192740969</v>
      </c>
      <c r="I898" s="1" t="s">
        <v>1005</v>
      </c>
      <c r="L898" s="1" t="s">
        <v>43</v>
      </c>
      <c r="M898" s="1">
        <v>539.6</v>
      </c>
      <c r="O898" s="1">
        <v>532</v>
      </c>
      <c r="S898" s="1">
        <v>7.6</v>
      </c>
      <c r="AJ898" s="2">
        <v>45245</v>
      </c>
    </row>
    <row r="899" spans="1:36">
      <c r="A899" s="1" t="str">
        <f>"A02BEA9B4F"</f>
        <v>A02BEA9B4F</v>
      </c>
      <c r="B899" s="1" t="str">
        <f t="shared" si="14"/>
        <v>02406911202</v>
      </c>
      <c r="C899" s="1" t="s">
        <v>13</v>
      </c>
      <c r="D899" s="1" t="s">
        <v>40</v>
      </c>
      <c r="E899" s="1" t="s">
        <v>1081</v>
      </c>
      <c r="F899" s="1" t="s">
        <v>39</v>
      </c>
      <c r="G899" s="1" t="str">
        <f>"06111530637"</f>
        <v>06111530637</v>
      </c>
      <c r="I899" s="1" t="s">
        <v>1073</v>
      </c>
      <c r="L899" s="1" t="s">
        <v>43</v>
      </c>
      <c r="M899" s="1">
        <v>1360</v>
      </c>
      <c r="O899" s="1">
        <v>136</v>
      </c>
      <c r="Q899" s="1">
        <v>1224</v>
      </c>
      <c r="AJ899" s="2">
        <v>45245</v>
      </c>
    </row>
    <row r="900" spans="1:36">
      <c r="A900" s="1" t="str">
        <f>"A02BEB5538"</f>
        <v>A02BEB5538</v>
      </c>
      <c r="B900" s="1" t="str">
        <f t="shared" si="14"/>
        <v>02406911202</v>
      </c>
      <c r="C900" s="1" t="s">
        <v>13</v>
      </c>
      <c r="D900" s="1" t="s">
        <v>40</v>
      </c>
      <c r="E900" s="1" t="s">
        <v>1082</v>
      </c>
      <c r="F900" s="1" t="s">
        <v>39</v>
      </c>
      <c r="G900" s="1" t="str">
        <f>"06111530637"</f>
        <v>06111530637</v>
      </c>
      <c r="I900" s="1" t="s">
        <v>1073</v>
      </c>
      <c r="L900" s="1" t="s">
        <v>43</v>
      </c>
      <c r="M900" s="1">
        <v>18900</v>
      </c>
      <c r="N900" s="1">
        <v>18000</v>
      </c>
      <c r="O900" s="1">
        <v>600</v>
      </c>
      <c r="S900" s="1">
        <v>300</v>
      </c>
      <c r="AJ900" s="2">
        <v>45245</v>
      </c>
    </row>
    <row r="901" spans="1:36">
      <c r="A901" s="1" t="str">
        <f>"A02BEBCAFD"</f>
        <v>A02BEBCAFD</v>
      </c>
      <c r="B901" s="1" t="str">
        <f t="shared" si="14"/>
        <v>02406911202</v>
      </c>
      <c r="C901" s="1" t="s">
        <v>13</v>
      </c>
      <c r="D901" s="1" t="s">
        <v>40</v>
      </c>
      <c r="E901" s="1" t="s">
        <v>1083</v>
      </c>
      <c r="F901" s="1" t="s">
        <v>39</v>
      </c>
      <c r="M901" s="1">
        <v>345</v>
      </c>
      <c r="AJ901" s="2">
        <v>45245</v>
      </c>
    </row>
    <row r="902" spans="1:36">
      <c r="A902" s="1" t="str">
        <f>"A02BEC30C7"</f>
        <v>A02BEC30C7</v>
      </c>
      <c r="B902" s="1" t="str">
        <f t="shared" si="14"/>
        <v>02406911202</v>
      </c>
      <c r="C902" s="1" t="s">
        <v>13</v>
      </c>
      <c r="D902" s="1" t="s">
        <v>40</v>
      </c>
      <c r="E902" s="1" t="s">
        <v>1084</v>
      </c>
      <c r="F902" s="1" t="s">
        <v>39</v>
      </c>
      <c r="G902" s="1" t="str">
        <f>"06111530637"</f>
        <v>06111530637</v>
      </c>
      <c r="I902" s="1" t="s">
        <v>1073</v>
      </c>
      <c r="L902" s="1" t="s">
        <v>43</v>
      </c>
      <c r="M902" s="1">
        <v>11200</v>
      </c>
      <c r="N902" s="1">
        <v>11200</v>
      </c>
      <c r="AJ902" s="2">
        <v>45245</v>
      </c>
    </row>
    <row r="903" spans="1:36">
      <c r="A903" s="1" t="str">
        <f>"A02BECFAAB"</f>
        <v>A02BECFAAB</v>
      </c>
      <c r="B903" s="1" t="str">
        <f t="shared" si="14"/>
        <v>02406911202</v>
      </c>
      <c r="C903" s="1" t="s">
        <v>13</v>
      </c>
      <c r="D903" s="1" t="s">
        <v>40</v>
      </c>
      <c r="E903" s="1" t="s">
        <v>1085</v>
      </c>
      <c r="F903" s="1" t="s">
        <v>39</v>
      </c>
      <c r="M903" s="1">
        <v>1332</v>
      </c>
      <c r="AJ903" s="2">
        <v>45245</v>
      </c>
    </row>
    <row r="904" spans="1:36">
      <c r="A904" s="1" t="str">
        <f>"A02BED6075"</f>
        <v>A02BED6075</v>
      </c>
      <c r="B904" s="1" t="str">
        <f t="shared" si="14"/>
        <v>02406911202</v>
      </c>
      <c r="C904" s="1" t="s">
        <v>13</v>
      </c>
      <c r="D904" s="1" t="s">
        <v>40</v>
      </c>
      <c r="E904" s="1" t="s">
        <v>1086</v>
      </c>
      <c r="F904" s="1" t="s">
        <v>39</v>
      </c>
      <c r="G904" s="1" t="str">
        <f>"04192740969"</f>
        <v>04192740969</v>
      </c>
      <c r="I904" s="1" t="s">
        <v>1005</v>
      </c>
      <c r="L904" s="1" t="s">
        <v>43</v>
      </c>
      <c r="M904" s="1">
        <v>744</v>
      </c>
      <c r="N904" s="1">
        <v>720</v>
      </c>
      <c r="S904" s="1">
        <v>24</v>
      </c>
      <c r="AJ904" s="2">
        <v>45245</v>
      </c>
    </row>
    <row r="905" spans="1:36">
      <c r="A905" s="1" t="str">
        <f>"A02BEDF7E0"</f>
        <v>A02BEDF7E0</v>
      </c>
      <c r="B905" s="1" t="str">
        <f t="shared" si="14"/>
        <v>02406911202</v>
      </c>
      <c r="C905" s="1" t="s">
        <v>13</v>
      </c>
      <c r="D905" s="1" t="s">
        <v>40</v>
      </c>
      <c r="E905" s="1" t="s">
        <v>1087</v>
      </c>
      <c r="F905" s="1" t="s">
        <v>39</v>
      </c>
      <c r="G905" s="1" t="str">
        <f>"06111530637"</f>
        <v>06111530637</v>
      </c>
      <c r="I905" s="1" t="s">
        <v>1073</v>
      </c>
      <c r="L905" s="1" t="s">
        <v>43</v>
      </c>
      <c r="M905" s="1">
        <v>792</v>
      </c>
      <c r="N905" s="1">
        <v>660</v>
      </c>
      <c r="S905" s="1">
        <v>132</v>
      </c>
      <c r="AJ905" s="2">
        <v>45245</v>
      </c>
    </row>
    <row r="906" spans="1:36">
      <c r="A906" s="1" t="str">
        <f>"A02BEEF515"</f>
        <v>A02BEEF515</v>
      </c>
      <c r="B906" s="1" t="str">
        <f t="shared" si="14"/>
        <v>02406911202</v>
      </c>
      <c r="C906" s="1" t="s">
        <v>13</v>
      </c>
      <c r="D906" s="1" t="s">
        <v>40</v>
      </c>
      <c r="E906" s="1" t="s">
        <v>1088</v>
      </c>
      <c r="F906" s="1" t="s">
        <v>39</v>
      </c>
      <c r="G906" s="1" t="str">
        <f>"04192740969"</f>
        <v>04192740969</v>
      </c>
      <c r="I906" s="1" t="s">
        <v>1005</v>
      </c>
      <c r="L906" s="1" t="s">
        <v>43</v>
      </c>
      <c r="M906" s="1">
        <v>33768</v>
      </c>
      <c r="N906" s="1">
        <v>100.8</v>
      </c>
      <c r="O906" s="1">
        <v>33600</v>
      </c>
      <c r="S906" s="1">
        <v>67.2</v>
      </c>
      <c r="AJ906" s="2">
        <v>45245</v>
      </c>
    </row>
    <row r="907" spans="1:36">
      <c r="A907" s="1" t="str">
        <f>"A02BEF8C80"</f>
        <v>A02BEF8C80</v>
      </c>
      <c r="B907" s="1" t="str">
        <f t="shared" si="14"/>
        <v>02406911202</v>
      </c>
      <c r="C907" s="1" t="s">
        <v>13</v>
      </c>
      <c r="D907" s="1" t="s">
        <v>40</v>
      </c>
      <c r="E907" s="1" t="s">
        <v>1089</v>
      </c>
      <c r="F907" s="1" t="s">
        <v>39</v>
      </c>
      <c r="G907" s="1" t="str">
        <f>"04192740969"</f>
        <v>04192740969</v>
      </c>
      <c r="I907" s="1" t="s">
        <v>1005</v>
      </c>
      <c r="L907" s="1" t="s">
        <v>43</v>
      </c>
      <c r="M907" s="1">
        <v>2520</v>
      </c>
      <c r="S907" s="1">
        <v>2520</v>
      </c>
      <c r="AJ907" s="2">
        <v>45245</v>
      </c>
    </row>
    <row r="908" spans="1:36">
      <c r="A908" s="1" t="str">
        <f>"A02BEFE177"</f>
        <v>A02BEFE177</v>
      </c>
      <c r="B908" s="1" t="str">
        <f t="shared" si="14"/>
        <v>02406911202</v>
      </c>
      <c r="C908" s="1" t="s">
        <v>13</v>
      </c>
      <c r="D908" s="1" t="s">
        <v>40</v>
      </c>
      <c r="E908" s="1" t="s">
        <v>1090</v>
      </c>
      <c r="F908" s="1" t="s">
        <v>39</v>
      </c>
      <c r="G908" s="1" t="str">
        <f>"06111530637"</f>
        <v>06111530637</v>
      </c>
      <c r="I908" s="1" t="s">
        <v>1073</v>
      </c>
      <c r="L908" s="1" t="s">
        <v>43</v>
      </c>
      <c r="M908" s="1">
        <v>660</v>
      </c>
      <c r="S908" s="1">
        <v>660</v>
      </c>
      <c r="AJ908" s="2">
        <v>45245</v>
      </c>
    </row>
    <row r="909" spans="1:36">
      <c r="A909" s="1" t="str">
        <f>"A02BF0573C"</f>
        <v>A02BF0573C</v>
      </c>
      <c r="B909" s="1" t="str">
        <f t="shared" si="14"/>
        <v>02406911202</v>
      </c>
      <c r="C909" s="1" t="s">
        <v>13</v>
      </c>
      <c r="D909" s="1" t="s">
        <v>40</v>
      </c>
      <c r="E909" s="1" t="s">
        <v>1091</v>
      </c>
      <c r="F909" s="1" t="s">
        <v>39</v>
      </c>
      <c r="G909" s="1" t="str">
        <f>"04192740969"</f>
        <v>04192740969</v>
      </c>
      <c r="I909" s="1" t="s">
        <v>1005</v>
      </c>
      <c r="L909" s="1" t="s">
        <v>43</v>
      </c>
      <c r="M909" s="1">
        <v>816</v>
      </c>
      <c r="S909" s="1">
        <v>816</v>
      </c>
      <c r="AJ909" s="2">
        <v>45245</v>
      </c>
    </row>
    <row r="910" spans="1:36">
      <c r="A910" s="1" t="str">
        <f>"A02BF0DDD4"</f>
        <v>A02BF0DDD4</v>
      </c>
      <c r="B910" s="1" t="str">
        <f t="shared" si="14"/>
        <v>02406911202</v>
      </c>
      <c r="C910" s="1" t="s">
        <v>13</v>
      </c>
      <c r="D910" s="1" t="s">
        <v>40</v>
      </c>
      <c r="E910" s="1" t="s">
        <v>1092</v>
      </c>
      <c r="F910" s="1" t="s">
        <v>39</v>
      </c>
      <c r="G910" s="1" t="str">
        <f>"04192740969"</f>
        <v>04192740969</v>
      </c>
      <c r="I910" s="1" t="s">
        <v>1005</v>
      </c>
      <c r="L910" s="1" t="s">
        <v>43</v>
      </c>
      <c r="M910" s="1">
        <v>636</v>
      </c>
      <c r="N910" s="1">
        <v>318</v>
      </c>
      <c r="S910" s="1">
        <v>318</v>
      </c>
      <c r="AJ910" s="2">
        <v>45245</v>
      </c>
    </row>
    <row r="911" spans="1:36">
      <c r="A911" s="1" t="str">
        <f>"A02BF17617"</f>
        <v>A02BF17617</v>
      </c>
      <c r="B911" s="1" t="str">
        <f t="shared" si="14"/>
        <v>02406911202</v>
      </c>
      <c r="C911" s="1" t="s">
        <v>13</v>
      </c>
      <c r="D911" s="1" t="s">
        <v>40</v>
      </c>
      <c r="E911" s="1" t="s">
        <v>1093</v>
      </c>
      <c r="F911" s="1" t="s">
        <v>39</v>
      </c>
      <c r="G911" s="1" t="str">
        <f>"04192740969"</f>
        <v>04192740969</v>
      </c>
      <c r="I911" s="1" t="s">
        <v>1005</v>
      </c>
      <c r="L911" s="1" t="s">
        <v>43</v>
      </c>
      <c r="M911" s="1">
        <v>1732.5</v>
      </c>
      <c r="N911" s="1">
        <v>115.5</v>
      </c>
      <c r="O911" s="1">
        <v>1155</v>
      </c>
      <c r="S911" s="1">
        <v>462</v>
      </c>
      <c r="AJ911" s="2">
        <v>45245</v>
      </c>
    </row>
    <row r="912" spans="1:36">
      <c r="A912" s="1" t="str">
        <f>"A02BF1DB09"</f>
        <v>A02BF1DB09</v>
      </c>
      <c r="B912" s="1" t="str">
        <f t="shared" si="14"/>
        <v>02406911202</v>
      </c>
      <c r="C912" s="1" t="s">
        <v>13</v>
      </c>
      <c r="D912" s="1" t="s">
        <v>40</v>
      </c>
      <c r="E912" s="1" t="s">
        <v>1094</v>
      </c>
      <c r="F912" s="1" t="s">
        <v>39</v>
      </c>
      <c r="G912" s="1" t="str">
        <f>"04192740969"</f>
        <v>04192740969</v>
      </c>
      <c r="I912" s="1" t="s">
        <v>1005</v>
      </c>
      <c r="L912" s="1" t="s">
        <v>43</v>
      </c>
      <c r="M912" s="1">
        <v>2203.8000000000002</v>
      </c>
      <c r="N912" s="1">
        <v>123.2</v>
      </c>
      <c r="O912" s="1">
        <v>15.4</v>
      </c>
      <c r="R912" s="1">
        <v>1155</v>
      </c>
      <c r="S912" s="1">
        <v>910.2</v>
      </c>
      <c r="AJ912" s="2">
        <v>45245</v>
      </c>
    </row>
    <row r="913" spans="1:36">
      <c r="A913" s="1" t="str">
        <f>"A02F037024"</f>
        <v>A02F037024</v>
      </c>
      <c r="B913" s="1" t="str">
        <f t="shared" si="14"/>
        <v>02406911202</v>
      </c>
      <c r="C913" s="1" t="s">
        <v>13</v>
      </c>
      <c r="D913" s="1" t="s">
        <v>40</v>
      </c>
      <c r="E913" s="1" t="s">
        <v>1095</v>
      </c>
      <c r="F913" s="1" t="s">
        <v>132</v>
      </c>
      <c r="G913" s="1" t="str">
        <f>"00818570012"</f>
        <v>00818570012</v>
      </c>
      <c r="I913" s="1" t="s">
        <v>1096</v>
      </c>
      <c r="L913" s="1" t="s">
        <v>43</v>
      </c>
      <c r="M913" s="1">
        <v>5902.08</v>
      </c>
      <c r="X913" s="1">
        <v>5902.08</v>
      </c>
      <c r="AJ913" s="2">
        <v>45260</v>
      </c>
    </row>
    <row r="914" spans="1:36">
      <c r="A914" s="1" t="str">
        <f>"A02F0677BE"</f>
        <v>A02F0677BE</v>
      </c>
      <c r="B914" s="1" t="str">
        <f t="shared" si="14"/>
        <v>02406911202</v>
      </c>
      <c r="C914" s="1" t="s">
        <v>13</v>
      </c>
      <c r="D914" s="1" t="s">
        <v>40</v>
      </c>
      <c r="E914" s="1" t="s">
        <v>1097</v>
      </c>
      <c r="F914" s="1" t="s">
        <v>132</v>
      </c>
      <c r="G914" s="1" t="str">
        <f>"00818570012"</f>
        <v>00818570012</v>
      </c>
      <c r="I914" s="1" t="s">
        <v>1096</v>
      </c>
      <c r="L914" s="1" t="s">
        <v>43</v>
      </c>
      <c r="M914" s="1">
        <v>4960</v>
      </c>
      <c r="X914" s="1">
        <v>4960</v>
      </c>
      <c r="AJ914" s="2">
        <v>45260</v>
      </c>
    </row>
    <row r="915" spans="1:36">
      <c r="A915" s="1" t="str">
        <f>"A02EBBCD97"</f>
        <v>A02EBBCD97</v>
      </c>
      <c r="B915" s="1" t="str">
        <f t="shared" si="14"/>
        <v>02406911202</v>
      </c>
      <c r="C915" s="1" t="s">
        <v>13</v>
      </c>
      <c r="D915" s="1" t="s">
        <v>40</v>
      </c>
      <c r="E915" s="1" t="s">
        <v>1098</v>
      </c>
      <c r="F915" s="1" t="s">
        <v>39</v>
      </c>
      <c r="G915" s="1" t="str">
        <f>"02047250424"</f>
        <v>02047250424</v>
      </c>
      <c r="I915" s="1" t="s">
        <v>1099</v>
      </c>
      <c r="L915" s="1" t="s">
        <v>43</v>
      </c>
      <c r="M915" s="1">
        <v>233999.83</v>
      </c>
      <c r="O915" s="1">
        <v>233999.83</v>
      </c>
      <c r="AJ915" s="2">
        <v>45251</v>
      </c>
    </row>
    <row r="916" spans="1:36">
      <c r="A916" s="1" t="str">
        <f>"A036CC4877"</f>
        <v>A036CC4877</v>
      </c>
      <c r="B916" s="1" t="str">
        <f t="shared" si="14"/>
        <v>02406911202</v>
      </c>
      <c r="C916" s="1" t="s">
        <v>13</v>
      </c>
      <c r="D916" s="1" t="s">
        <v>40</v>
      </c>
      <c r="E916" s="1" t="s">
        <v>1100</v>
      </c>
      <c r="F916" s="1" t="s">
        <v>39</v>
      </c>
      <c r="G916" s="1" t="str">
        <f>"10181220152"</f>
        <v>10181220152</v>
      </c>
      <c r="I916" s="1" t="s">
        <v>301</v>
      </c>
      <c r="L916" s="1" t="s">
        <v>43</v>
      </c>
      <c r="M916" s="1">
        <v>2628582.36</v>
      </c>
      <c r="O916" s="1">
        <v>2628582.36</v>
      </c>
      <c r="AJ916" s="2">
        <v>45261</v>
      </c>
    </row>
    <row r="917" spans="1:36">
      <c r="A917" s="1" t="str">
        <f>"A03AF50306"</f>
        <v>A03AF50306</v>
      </c>
      <c r="B917" s="1" t="str">
        <f t="shared" si="14"/>
        <v>02406911202</v>
      </c>
      <c r="C917" s="1" t="s">
        <v>13</v>
      </c>
      <c r="D917" s="1" t="s">
        <v>40</v>
      </c>
      <c r="E917" s="1" t="s">
        <v>1101</v>
      </c>
      <c r="F917" s="1" t="s">
        <v>132</v>
      </c>
      <c r="G917" s="1" t="str">
        <f>"08252061000"</f>
        <v>08252061000</v>
      </c>
      <c r="I917" s="1" t="s">
        <v>1102</v>
      </c>
      <c r="L917" s="1" t="s">
        <v>43</v>
      </c>
      <c r="M917" s="1">
        <v>16350</v>
      </c>
      <c r="N917" s="1">
        <v>6500</v>
      </c>
      <c r="O917" s="1">
        <v>6000</v>
      </c>
      <c r="P917" s="1">
        <v>3850</v>
      </c>
      <c r="AJ917" s="2">
        <v>45281</v>
      </c>
    </row>
    <row r="918" spans="1:36">
      <c r="A918" s="1" t="str">
        <f>"A03AE1F753"</f>
        <v>A03AE1F753</v>
      </c>
      <c r="B918" s="1" t="str">
        <f t="shared" si="14"/>
        <v>02406911202</v>
      </c>
      <c r="C918" s="1" t="s">
        <v>13</v>
      </c>
      <c r="D918" s="1" t="s">
        <v>40</v>
      </c>
      <c r="E918" s="1" t="s">
        <v>1103</v>
      </c>
      <c r="F918" s="1" t="s">
        <v>132</v>
      </c>
      <c r="G918" s="1" t="str">
        <f>"11164410018"</f>
        <v>11164410018</v>
      </c>
      <c r="I918" s="1" t="s">
        <v>1104</v>
      </c>
      <c r="L918" s="1" t="s">
        <v>43</v>
      </c>
      <c r="M918" s="1">
        <v>71560.2</v>
      </c>
      <c r="N918" s="1">
        <v>33990.699999999997</v>
      </c>
      <c r="Q918" s="1">
        <v>37569.5</v>
      </c>
      <c r="AJ918" s="2">
        <v>45275</v>
      </c>
    </row>
    <row r="919" spans="1:36">
      <c r="A919" s="1" t="str">
        <f>"A02C9EE817"</f>
        <v>A02C9EE817</v>
      </c>
      <c r="B919" s="1" t="str">
        <f t="shared" si="14"/>
        <v>02406911202</v>
      </c>
      <c r="C919" s="1" t="s">
        <v>13</v>
      </c>
      <c r="D919" s="1" t="s">
        <v>40</v>
      </c>
      <c r="E919" s="1" t="s">
        <v>1105</v>
      </c>
      <c r="F919" s="1" t="s">
        <v>39</v>
      </c>
      <c r="G919" s="1" t="str">
        <f>"09521810961"</f>
        <v>09521810961</v>
      </c>
      <c r="I919" s="1" t="s">
        <v>1106</v>
      </c>
      <c r="L919" s="1" t="s">
        <v>43</v>
      </c>
      <c r="M919" s="1">
        <v>375838.29</v>
      </c>
      <c r="N919" s="1">
        <v>210310</v>
      </c>
      <c r="O919" s="1">
        <v>101739.25</v>
      </c>
      <c r="P919" s="1">
        <v>23547.5</v>
      </c>
      <c r="Q919" s="1">
        <v>40241.54</v>
      </c>
      <c r="AJ919" s="2">
        <v>45246</v>
      </c>
    </row>
    <row r="920" spans="1:36">
      <c r="A920" s="1" t="str">
        <f>"A03AE9DF4B"</f>
        <v>A03AE9DF4B</v>
      </c>
      <c r="B920" s="1" t="str">
        <f t="shared" si="14"/>
        <v>02406911202</v>
      </c>
      <c r="C920" s="1" t="s">
        <v>13</v>
      </c>
      <c r="D920" s="1" t="s">
        <v>40</v>
      </c>
      <c r="E920" s="1" t="s">
        <v>1107</v>
      </c>
      <c r="F920" s="1" t="s">
        <v>39</v>
      </c>
      <c r="G920" s="1" t="str">
        <f>"00667690044"</f>
        <v>00667690044</v>
      </c>
      <c r="I920" s="1" t="s">
        <v>442</v>
      </c>
      <c r="J920" s="1" t="s">
        <v>1108</v>
      </c>
      <c r="K920" s="1" t="s">
        <v>141</v>
      </c>
      <c r="AJ920" s="2">
        <v>45273</v>
      </c>
    </row>
    <row r="921" spans="1:36">
      <c r="A921" s="1" t="str">
        <f>"A03AE9DF4B"</f>
        <v>A03AE9DF4B</v>
      </c>
      <c r="B921" s="1" t="str">
        <f t="shared" si="14"/>
        <v>02406911202</v>
      </c>
      <c r="C921" s="1" t="s">
        <v>13</v>
      </c>
      <c r="D921" s="1" t="s">
        <v>40</v>
      </c>
      <c r="E921" s="1" t="s">
        <v>1107</v>
      </c>
      <c r="F921" s="1" t="s">
        <v>39</v>
      </c>
      <c r="G921" s="1" t="str">
        <f>"04303410726"</f>
        <v>04303410726</v>
      </c>
      <c r="I921" s="1" t="s">
        <v>986</v>
      </c>
      <c r="J921" s="1" t="s">
        <v>1108</v>
      </c>
      <c r="K921" s="1" t="s">
        <v>139</v>
      </c>
      <c r="AJ921" s="2">
        <v>45273</v>
      </c>
    </row>
    <row r="922" spans="1:36">
      <c r="A922" s="1" t="str">
        <f>"A03AE9DF4B"</f>
        <v>A03AE9DF4B</v>
      </c>
      <c r="B922" s="1" t="str">
        <f t="shared" si="14"/>
        <v>02406911202</v>
      </c>
      <c r="C922" s="1" t="s">
        <v>13</v>
      </c>
      <c r="D922" s="1" t="s">
        <v>40</v>
      </c>
      <c r="E922" s="1" t="s">
        <v>1107</v>
      </c>
      <c r="F922" s="1" t="s">
        <v>39</v>
      </c>
      <c r="I922" s="1" t="s">
        <v>1108</v>
      </c>
      <c r="L922" s="1" t="s">
        <v>43</v>
      </c>
      <c r="M922" s="1">
        <v>275576</v>
      </c>
      <c r="N922" s="1">
        <v>78690</v>
      </c>
      <c r="O922" s="1">
        <v>165000</v>
      </c>
      <c r="P922" s="1">
        <v>11886</v>
      </c>
      <c r="Q922" s="1">
        <v>20000</v>
      </c>
      <c r="AJ922" s="2">
        <v>45273</v>
      </c>
    </row>
    <row r="923" spans="1:36">
      <c r="A923" s="1" t="str">
        <f>"A027215994"</f>
        <v>A027215994</v>
      </c>
      <c r="B923" s="1" t="str">
        <f t="shared" si="14"/>
        <v>02406911202</v>
      </c>
      <c r="C923" s="1" t="s">
        <v>13</v>
      </c>
      <c r="D923" s="1" t="s">
        <v>40</v>
      </c>
      <c r="E923" s="1" t="s">
        <v>1109</v>
      </c>
      <c r="F923" s="1" t="s">
        <v>39</v>
      </c>
      <c r="G923" s="1" t="str">
        <f>"02974560100"</f>
        <v>02974560100</v>
      </c>
      <c r="I923" s="1" t="s">
        <v>1110</v>
      </c>
      <c r="L923" s="1" t="s">
        <v>43</v>
      </c>
      <c r="M923" s="1">
        <v>542171</v>
      </c>
      <c r="N923" s="1">
        <v>343576</v>
      </c>
      <c r="O923" s="1">
        <v>47000</v>
      </c>
      <c r="P923" s="1">
        <v>76595</v>
      </c>
      <c r="Q923" s="1">
        <v>75000</v>
      </c>
      <c r="AJ923" s="2">
        <v>45238</v>
      </c>
    </row>
    <row r="924" spans="1:36">
      <c r="A924" s="1" t="str">
        <f>"A02030853B"</f>
        <v>A02030853B</v>
      </c>
      <c r="B924" s="1" t="str">
        <f t="shared" si="14"/>
        <v>02406911202</v>
      </c>
      <c r="C924" s="1" t="s">
        <v>13</v>
      </c>
      <c r="D924" s="1" t="s">
        <v>40</v>
      </c>
      <c r="E924" s="1" t="s">
        <v>1111</v>
      </c>
      <c r="F924" s="1" t="s">
        <v>132</v>
      </c>
      <c r="G924" s="1" t="str">
        <f>"00136740404"</f>
        <v>00136740404</v>
      </c>
      <c r="I924" s="1" t="s">
        <v>398</v>
      </c>
      <c r="L924" s="1" t="s">
        <v>43</v>
      </c>
      <c r="M924" s="1">
        <v>57967.5</v>
      </c>
      <c r="N924" s="1">
        <v>55548.5</v>
      </c>
      <c r="P924" s="1">
        <v>2419</v>
      </c>
      <c r="AJ924" s="2">
        <v>45222</v>
      </c>
    </row>
    <row r="925" spans="1:36">
      <c r="A925" s="1" t="str">
        <f>"A02031C5BC"</f>
        <v>A02031C5BC</v>
      </c>
      <c r="B925" s="1" t="str">
        <f t="shared" si="14"/>
        <v>02406911202</v>
      </c>
      <c r="C925" s="1" t="s">
        <v>13</v>
      </c>
      <c r="D925" s="1" t="s">
        <v>40</v>
      </c>
      <c r="E925" s="1" t="s">
        <v>1112</v>
      </c>
      <c r="F925" s="1" t="s">
        <v>132</v>
      </c>
      <c r="G925" s="1" t="str">
        <f>"00136740404"</f>
        <v>00136740404</v>
      </c>
      <c r="I925" s="1" t="s">
        <v>398</v>
      </c>
      <c r="L925" s="1" t="s">
        <v>43</v>
      </c>
      <c r="M925" s="1">
        <v>43527.92</v>
      </c>
      <c r="N925" s="1">
        <v>18106.060000000001</v>
      </c>
      <c r="O925" s="1">
        <v>13106.86</v>
      </c>
      <c r="P925" s="1">
        <v>216</v>
      </c>
      <c r="S925" s="1">
        <v>12099</v>
      </c>
      <c r="AJ925" s="2">
        <v>45222</v>
      </c>
    </row>
    <row r="926" spans="1:36">
      <c r="A926" s="1" t="str">
        <f>"A00F26F0D5"</f>
        <v>A00F26F0D5</v>
      </c>
      <c r="B926" s="1" t="str">
        <f t="shared" si="14"/>
        <v>02406911202</v>
      </c>
      <c r="C926" s="1" t="s">
        <v>13</v>
      </c>
      <c r="D926" s="1" t="s">
        <v>40</v>
      </c>
      <c r="E926" s="1" t="s">
        <v>1113</v>
      </c>
      <c r="F926" s="1" t="s">
        <v>39</v>
      </c>
      <c r="G926" s="1" t="str">
        <f>"00667690044"</f>
        <v>00667690044</v>
      </c>
      <c r="I926" s="1" t="s">
        <v>442</v>
      </c>
      <c r="J926" s="1" t="s">
        <v>1114</v>
      </c>
      <c r="K926" s="1" t="s">
        <v>139</v>
      </c>
      <c r="AJ926" s="2">
        <v>45184</v>
      </c>
    </row>
    <row r="927" spans="1:36">
      <c r="A927" s="1" t="str">
        <f>"A00F26F0D5"</f>
        <v>A00F26F0D5</v>
      </c>
      <c r="B927" s="1" t="str">
        <f t="shared" si="14"/>
        <v>02406911202</v>
      </c>
      <c r="C927" s="1" t="s">
        <v>13</v>
      </c>
      <c r="D927" s="1" t="s">
        <v>40</v>
      </c>
      <c r="E927" s="1" t="s">
        <v>1113</v>
      </c>
      <c r="F927" s="1" t="s">
        <v>39</v>
      </c>
      <c r="G927" s="1" t="str">
        <f>"04303410726"</f>
        <v>04303410726</v>
      </c>
      <c r="I927" s="1" t="s">
        <v>986</v>
      </c>
      <c r="J927" s="1" t="s">
        <v>1114</v>
      </c>
      <c r="K927" s="1" t="s">
        <v>141</v>
      </c>
      <c r="AJ927" s="2">
        <v>45184</v>
      </c>
    </row>
    <row r="928" spans="1:36">
      <c r="A928" s="1" t="str">
        <f>"A00F26F0D5"</f>
        <v>A00F26F0D5</v>
      </c>
      <c r="B928" s="1" t="str">
        <f t="shared" si="14"/>
        <v>02406911202</v>
      </c>
      <c r="C928" s="1" t="s">
        <v>13</v>
      </c>
      <c r="D928" s="1" t="s">
        <v>40</v>
      </c>
      <c r="E928" s="1" t="s">
        <v>1113</v>
      </c>
      <c r="F928" s="1" t="s">
        <v>39</v>
      </c>
      <c r="I928" s="1" t="s">
        <v>1114</v>
      </c>
      <c r="L928" s="1" t="s">
        <v>43</v>
      </c>
      <c r="M928" s="1">
        <v>408551</v>
      </c>
      <c r="N928" s="1">
        <v>115000</v>
      </c>
      <c r="O928" s="1">
        <v>245000</v>
      </c>
      <c r="Q928" s="1">
        <v>48551</v>
      </c>
      <c r="AJ928" s="2">
        <v>45184</v>
      </c>
    </row>
    <row r="929" spans="1:36">
      <c r="A929" s="1" t="str">
        <f t="shared" ref="A929:A938" si="15">"A02EFE29FC"</f>
        <v>A02EFE29FC</v>
      </c>
      <c r="B929" s="1" t="str">
        <f t="shared" si="14"/>
        <v>02406911202</v>
      </c>
      <c r="C929" s="1" t="s">
        <v>13</v>
      </c>
      <c r="D929" s="1" t="s">
        <v>40</v>
      </c>
      <c r="E929" s="1" t="s">
        <v>1115</v>
      </c>
      <c r="F929" s="1" t="s">
        <v>39</v>
      </c>
      <c r="G929" s="1" t="str">
        <f>"02291500409"</f>
        <v>02291500409</v>
      </c>
      <c r="I929" s="1" t="s">
        <v>1116</v>
      </c>
      <c r="J929" s="1" t="s">
        <v>1117</v>
      </c>
      <c r="K929" s="1" t="s">
        <v>1029</v>
      </c>
      <c r="AJ929" s="2">
        <v>45259</v>
      </c>
    </row>
    <row r="930" spans="1:36">
      <c r="A930" s="1" t="str">
        <f t="shared" si="15"/>
        <v>A02EFE29FC</v>
      </c>
      <c r="B930" s="1" t="str">
        <f t="shared" si="14"/>
        <v>02406911202</v>
      </c>
      <c r="C930" s="1" t="s">
        <v>13</v>
      </c>
      <c r="D930" s="1" t="s">
        <v>40</v>
      </c>
      <c r="E930" s="1" t="s">
        <v>1115</v>
      </c>
      <c r="F930" s="1" t="s">
        <v>39</v>
      </c>
      <c r="G930" s="1" t="str">
        <f>"03121711208"</f>
        <v>03121711208</v>
      </c>
      <c r="I930" s="1" t="s">
        <v>1118</v>
      </c>
      <c r="J930" s="1" t="s">
        <v>1117</v>
      </c>
      <c r="K930" s="1" t="s">
        <v>1030</v>
      </c>
      <c r="AJ930" s="2">
        <v>45259</v>
      </c>
    </row>
    <row r="931" spans="1:36">
      <c r="A931" s="1" t="str">
        <f t="shared" si="15"/>
        <v>A02EFE29FC</v>
      </c>
      <c r="B931" s="1" t="str">
        <f t="shared" si="14"/>
        <v>02406911202</v>
      </c>
      <c r="C931" s="1" t="s">
        <v>13</v>
      </c>
      <c r="D931" s="1" t="s">
        <v>40</v>
      </c>
      <c r="E931" s="1" t="s">
        <v>1115</v>
      </c>
      <c r="F931" s="1" t="s">
        <v>39</v>
      </c>
      <c r="G931" s="1" t="str">
        <f>"01955980352"</f>
        <v>01955980352</v>
      </c>
      <c r="I931" s="1" t="s">
        <v>1119</v>
      </c>
      <c r="J931" s="1" t="s">
        <v>1117</v>
      </c>
      <c r="K931" s="1" t="s">
        <v>1030</v>
      </c>
      <c r="AJ931" s="2">
        <v>45259</v>
      </c>
    </row>
    <row r="932" spans="1:36">
      <c r="A932" s="1" t="str">
        <f t="shared" si="15"/>
        <v>A02EFE29FC</v>
      </c>
      <c r="B932" s="1" t="str">
        <f t="shared" si="14"/>
        <v>02406911202</v>
      </c>
      <c r="C932" s="1" t="s">
        <v>13</v>
      </c>
      <c r="D932" s="1" t="s">
        <v>40</v>
      </c>
      <c r="E932" s="1" t="s">
        <v>1115</v>
      </c>
      <c r="F932" s="1" t="s">
        <v>39</v>
      </c>
      <c r="G932" s="1" t="str">
        <f>"01928210341"</f>
        <v>01928210341</v>
      </c>
      <c r="I932" s="1" t="s">
        <v>1120</v>
      </c>
      <c r="J932" s="1" t="s">
        <v>1117</v>
      </c>
      <c r="K932" s="1" t="s">
        <v>1030</v>
      </c>
      <c r="AJ932" s="2">
        <v>45259</v>
      </c>
    </row>
    <row r="933" spans="1:36">
      <c r="A933" s="1" t="str">
        <f t="shared" si="15"/>
        <v>A02EFE29FC</v>
      </c>
      <c r="B933" s="1" t="str">
        <f t="shared" si="14"/>
        <v>02406911202</v>
      </c>
      <c r="C933" s="1" t="s">
        <v>13</v>
      </c>
      <c r="D933" s="1" t="s">
        <v>40</v>
      </c>
      <c r="E933" s="1" t="s">
        <v>1115</v>
      </c>
      <c r="F933" s="1" t="s">
        <v>39</v>
      </c>
      <c r="G933" s="1" t="str">
        <f>"02338400407"</f>
        <v>02338400407</v>
      </c>
      <c r="I933" s="1" t="s">
        <v>1121</v>
      </c>
      <c r="J933" s="1" t="s">
        <v>1117</v>
      </c>
      <c r="K933" s="1" t="s">
        <v>1030</v>
      </c>
      <c r="AJ933" s="2">
        <v>45259</v>
      </c>
    </row>
    <row r="934" spans="1:36">
      <c r="A934" s="1" t="str">
        <f t="shared" si="15"/>
        <v>A02EFE29FC</v>
      </c>
      <c r="B934" s="1" t="str">
        <f t="shared" si="14"/>
        <v>02406911202</v>
      </c>
      <c r="C934" s="1" t="s">
        <v>13</v>
      </c>
      <c r="D934" s="1" t="s">
        <v>40</v>
      </c>
      <c r="E934" s="1" t="s">
        <v>1115</v>
      </c>
      <c r="F934" s="1" t="s">
        <v>39</v>
      </c>
      <c r="G934" s="1" t="str">
        <f>"01139920332"</f>
        <v>01139920332</v>
      </c>
      <c r="I934" s="1" t="s">
        <v>1122</v>
      </c>
      <c r="J934" s="1" t="s">
        <v>1117</v>
      </c>
      <c r="K934" s="1" t="s">
        <v>1030</v>
      </c>
      <c r="AJ934" s="2">
        <v>45259</v>
      </c>
    </row>
    <row r="935" spans="1:36">
      <c r="A935" s="1" t="str">
        <f t="shared" si="15"/>
        <v>A02EFE29FC</v>
      </c>
      <c r="B935" s="1" t="str">
        <f t="shared" si="14"/>
        <v>02406911202</v>
      </c>
      <c r="C935" s="1" t="s">
        <v>13</v>
      </c>
      <c r="D935" s="1" t="s">
        <v>40</v>
      </c>
      <c r="E935" s="1" t="s">
        <v>1115</v>
      </c>
      <c r="F935" s="1" t="s">
        <v>39</v>
      </c>
      <c r="G935" s="1" t="str">
        <f>"02006180364"</f>
        <v>02006180364</v>
      </c>
      <c r="I935" s="1" t="s">
        <v>1123</v>
      </c>
      <c r="J935" s="1" t="s">
        <v>1117</v>
      </c>
      <c r="K935" s="1" t="s">
        <v>1030</v>
      </c>
      <c r="AJ935" s="2">
        <v>45259</v>
      </c>
    </row>
    <row r="936" spans="1:36">
      <c r="A936" s="1" t="str">
        <f t="shared" si="15"/>
        <v>A02EFE29FC</v>
      </c>
      <c r="B936" s="1" t="str">
        <f t="shared" si="14"/>
        <v>02406911202</v>
      </c>
      <c r="C936" s="1" t="s">
        <v>13</v>
      </c>
      <c r="D936" s="1" t="s">
        <v>40</v>
      </c>
      <c r="E936" s="1" t="s">
        <v>1115</v>
      </c>
      <c r="F936" s="1" t="s">
        <v>39</v>
      </c>
      <c r="G936" s="1" t="str">
        <f>"01202580377"</f>
        <v>01202580377</v>
      </c>
      <c r="I936" s="1" t="s">
        <v>1124</v>
      </c>
      <c r="J936" s="1" t="s">
        <v>1117</v>
      </c>
      <c r="K936" s="1" t="s">
        <v>1030</v>
      </c>
      <c r="AJ936" s="2">
        <v>45259</v>
      </c>
    </row>
    <row r="937" spans="1:36">
      <c r="A937" s="1" t="str">
        <f t="shared" si="15"/>
        <v>A02EFE29FC</v>
      </c>
      <c r="B937" s="1" t="str">
        <f t="shared" si="14"/>
        <v>02406911202</v>
      </c>
      <c r="C937" s="1" t="s">
        <v>13</v>
      </c>
      <c r="D937" s="1" t="s">
        <v>40</v>
      </c>
      <c r="E937" s="1" t="s">
        <v>1115</v>
      </c>
      <c r="F937" s="1" t="s">
        <v>39</v>
      </c>
      <c r="G937" s="1" t="str">
        <f>"04226100370"</f>
        <v>04226100370</v>
      </c>
      <c r="I937" s="1" t="s">
        <v>1125</v>
      </c>
      <c r="J937" s="1" t="s">
        <v>1117</v>
      </c>
      <c r="K937" s="1" t="s">
        <v>1030</v>
      </c>
      <c r="AJ937" s="2">
        <v>45259</v>
      </c>
    </row>
    <row r="938" spans="1:36">
      <c r="A938" s="1" t="str">
        <f t="shared" si="15"/>
        <v>A02EFE29FC</v>
      </c>
      <c r="B938" s="1" t="str">
        <f t="shared" si="14"/>
        <v>02406911202</v>
      </c>
      <c r="C938" s="1" t="s">
        <v>13</v>
      </c>
      <c r="D938" s="1" t="s">
        <v>40</v>
      </c>
      <c r="E938" s="1" t="s">
        <v>1115</v>
      </c>
      <c r="F938" s="1" t="s">
        <v>39</v>
      </c>
      <c r="I938" s="1" t="s">
        <v>1117</v>
      </c>
      <c r="L938" s="1" t="s">
        <v>43</v>
      </c>
      <c r="M938" s="1">
        <v>548529</v>
      </c>
      <c r="N938" s="1">
        <v>202725</v>
      </c>
      <c r="Q938" s="1">
        <v>26301</v>
      </c>
      <c r="R938" s="1">
        <v>33411.5</v>
      </c>
      <c r="T938" s="1">
        <v>167673</v>
      </c>
      <c r="Y938" s="1">
        <v>16907</v>
      </c>
      <c r="AC938" s="1">
        <v>58824.5</v>
      </c>
      <c r="AE938" s="1">
        <v>21939</v>
      </c>
      <c r="AF938" s="1">
        <v>20748</v>
      </c>
      <c r="AJ938" s="2">
        <v>45259</v>
      </c>
    </row>
    <row r="939" spans="1:36">
      <c r="A939" s="1" t="str">
        <f>"A002551C32"</f>
        <v>A002551C32</v>
      </c>
      <c r="B939" s="1" t="str">
        <f t="shared" si="14"/>
        <v>02406911202</v>
      </c>
      <c r="C939" s="1" t="s">
        <v>13</v>
      </c>
      <c r="D939" s="1" t="s">
        <v>37</v>
      </c>
      <c r="E939" s="1" t="s">
        <v>1126</v>
      </c>
      <c r="F939" s="1" t="s">
        <v>151</v>
      </c>
      <c r="G939" s="1" t="str">
        <f>"08526440154"</f>
        <v>08526440154</v>
      </c>
      <c r="I939" s="1" t="s">
        <v>1127</v>
      </c>
      <c r="L939" s="1" t="s">
        <v>43</v>
      </c>
      <c r="M939" s="1">
        <v>1028193.1</v>
      </c>
      <c r="AG939" s="1">
        <v>0</v>
      </c>
      <c r="AH939" s="2">
        <v>45200</v>
      </c>
      <c r="AI939" s="2">
        <v>45565</v>
      </c>
      <c r="AJ939" s="2">
        <v>45142</v>
      </c>
    </row>
    <row r="940" spans="1:36">
      <c r="A940" s="1" t="str">
        <f>"ZCC3BF782B"</f>
        <v>ZCC3BF782B</v>
      </c>
      <c r="B940" s="1" t="str">
        <f t="shared" si="14"/>
        <v>02406911202</v>
      </c>
      <c r="C940" s="1" t="s">
        <v>13</v>
      </c>
      <c r="D940" s="1" t="s">
        <v>37</v>
      </c>
      <c r="E940" s="1" t="s">
        <v>1128</v>
      </c>
      <c r="F940" s="1" t="s">
        <v>158</v>
      </c>
      <c r="G940" s="1" t="str">
        <f>"NRDLSN65R21C265G"</f>
        <v>NRDLSN65R21C265G</v>
      </c>
      <c r="I940" s="1" t="s">
        <v>1129</v>
      </c>
      <c r="L940" s="1" t="s">
        <v>43</v>
      </c>
      <c r="M940" s="1">
        <v>5800</v>
      </c>
      <c r="AG940" s="1">
        <v>0</v>
      </c>
      <c r="AH940" s="2">
        <v>45140</v>
      </c>
      <c r="AI940" s="2">
        <v>45179</v>
      </c>
      <c r="AJ940" s="2">
        <v>45140</v>
      </c>
    </row>
    <row r="941" spans="1:36">
      <c r="A941" s="1" t="str">
        <f>"Z7B3C243A6"</f>
        <v>Z7B3C243A6</v>
      </c>
      <c r="B941" s="1" t="str">
        <f t="shared" si="14"/>
        <v>02406911202</v>
      </c>
      <c r="C941" s="1" t="s">
        <v>13</v>
      </c>
      <c r="D941" s="1" t="s">
        <v>37</v>
      </c>
      <c r="E941" s="1" t="s">
        <v>1130</v>
      </c>
      <c r="F941" s="1" t="s">
        <v>158</v>
      </c>
      <c r="G941" s="1" t="str">
        <f>"02000760393"</f>
        <v>02000760393</v>
      </c>
      <c r="I941" s="1" t="s">
        <v>1131</v>
      </c>
      <c r="L941" s="1" t="s">
        <v>43</v>
      </c>
      <c r="M941" s="1">
        <v>570</v>
      </c>
      <c r="AG941" s="1">
        <v>570</v>
      </c>
      <c r="AH941" s="2">
        <v>45145</v>
      </c>
      <c r="AI941" s="2">
        <v>45169</v>
      </c>
      <c r="AJ941" s="2">
        <v>45145</v>
      </c>
    </row>
    <row r="942" spans="1:36">
      <c r="A942" s="1" t="str">
        <f>"A00285E0B6"</f>
        <v>A00285E0B6</v>
      </c>
      <c r="B942" s="1" t="str">
        <f t="shared" si="14"/>
        <v>02406911202</v>
      </c>
      <c r="C942" s="1" t="s">
        <v>13</v>
      </c>
      <c r="D942" s="1" t="s">
        <v>37</v>
      </c>
      <c r="E942" s="1" t="s">
        <v>1132</v>
      </c>
      <c r="F942" s="1" t="s">
        <v>158</v>
      </c>
      <c r="G942" s="1" t="str">
        <f>"01468160393"</f>
        <v>01468160393</v>
      </c>
      <c r="I942" s="1" t="s">
        <v>1133</v>
      </c>
      <c r="J942" s="1" t="s">
        <v>1134</v>
      </c>
      <c r="K942" s="1" t="s">
        <v>141</v>
      </c>
      <c r="AJ942" s="2">
        <v>45148</v>
      </c>
    </row>
    <row r="943" spans="1:36">
      <c r="A943" s="1" t="str">
        <f>"A00285E0B6"</f>
        <v>A00285E0B6</v>
      </c>
      <c r="B943" s="1" t="str">
        <f t="shared" si="14"/>
        <v>02406911202</v>
      </c>
      <c r="C943" s="1" t="s">
        <v>13</v>
      </c>
      <c r="D943" s="1" t="s">
        <v>37</v>
      </c>
      <c r="E943" s="1" t="s">
        <v>1132</v>
      </c>
      <c r="F943" s="1" t="s">
        <v>158</v>
      </c>
      <c r="G943" s="1" t="str">
        <f>"02402671206"</f>
        <v>02402671206</v>
      </c>
      <c r="I943" s="1" t="s">
        <v>1135</v>
      </c>
      <c r="J943" s="1" t="s">
        <v>1134</v>
      </c>
      <c r="K943" s="1" t="s">
        <v>139</v>
      </c>
      <c r="AJ943" s="2">
        <v>45148</v>
      </c>
    </row>
    <row r="944" spans="1:36">
      <c r="A944" s="1" t="str">
        <f>"A00285E0B6"</f>
        <v>A00285E0B6</v>
      </c>
      <c r="B944" s="1" t="str">
        <f t="shared" si="14"/>
        <v>02406911202</v>
      </c>
      <c r="C944" s="1" t="s">
        <v>13</v>
      </c>
      <c r="D944" s="1" t="s">
        <v>37</v>
      </c>
      <c r="E944" s="1" t="s">
        <v>1132</v>
      </c>
      <c r="F944" s="1" t="s">
        <v>158</v>
      </c>
      <c r="I944" s="1" t="s">
        <v>1134</v>
      </c>
      <c r="L944" s="1" t="s">
        <v>43</v>
      </c>
      <c r="M944" s="1">
        <v>18802.34</v>
      </c>
      <c r="AG944" s="1">
        <v>0</v>
      </c>
      <c r="AH944" s="2">
        <v>45159</v>
      </c>
      <c r="AI944" s="2">
        <v>45184</v>
      </c>
      <c r="AJ944" s="2">
        <v>45148</v>
      </c>
    </row>
    <row r="945" spans="1:36">
      <c r="A945" s="1" t="str">
        <f>"ZC63C5A6FD"</f>
        <v>ZC63C5A6FD</v>
      </c>
      <c r="B945" s="1" t="str">
        <f t="shared" si="14"/>
        <v>02406911202</v>
      </c>
      <c r="C945" s="1" t="s">
        <v>13</v>
      </c>
      <c r="D945" s="1" t="s">
        <v>37</v>
      </c>
      <c r="E945" s="1" t="s">
        <v>1136</v>
      </c>
      <c r="F945" s="1" t="s">
        <v>39</v>
      </c>
      <c r="G945" s="1" t="str">
        <f>"01573930359"</f>
        <v>01573930359</v>
      </c>
      <c r="I945" s="1" t="s">
        <v>1137</v>
      </c>
      <c r="L945" s="1" t="s">
        <v>43</v>
      </c>
      <c r="M945" s="1">
        <v>359.15</v>
      </c>
      <c r="AG945" s="1">
        <v>359.15</v>
      </c>
      <c r="AH945" s="2">
        <v>45175</v>
      </c>
      <c r="AI945" s="2">
        <v>45189</v>
      </c>
      <c r="AJ945" s="2">
        <v>45175</v>
      </c>
    </row>
    <row r="946" spans="1:36">
      <c r="A946" s="1" t="str">
        <f>"Z873C37EAC"</f>
        <v>Z873C37EAC</v>
      </c>
      <c r="B946" s="1" t="str">
        <f t="shared" si="14"/>
        <v>02406911202</v>
      </c>
      <c r="C946" s="1" t="s">
        <v>13</v>
      </c>
      <c r="D946" s="1" t="s">
        <v>37</v>
      </c>
      <c r="E946" s="1" t="s">
        <v>1138</v>
      </c>
      <c r="F946" s="1" t="s">
        <v>132</v>
      </c>
      <c r="G946" s="1" t="str">
        <f>"VTTMNL69E45D325F"</f>
        <v>VTTMNL69E45D325F</v>
      </c>
      <c r="I946" s="1" t="s">
        <v>1139</v>
      </c>
      <c r="L946" s="1" t="s">
        <v>43</v>
      </c>
      <c r="M946" s="1">
        <v>17152.14</v>
      </c>
      <c r="AG946" s="1">
        <v>0</v>
      </c>
      <c r="AH946" s="2">
        <v>45187</v>
      </c>
      <c r="AI946" s="2">
        <v>45429</v>
      </c>
      <c r="AJ946" s="2">
        <v>45135</v>
      </c>
    </row>
    <row r="947" spans="1:36">
      <c r="A947" s="1" t="str">
        <f>"Z873C37EAC"</f>
        <v>Z873C37EAC</v>
      </c>
      <c r="B947" s="1" t="str">
        <f t="shared" si="14"/>
        <v>02406911202</v>
      </c>
      <c r="C947" s="1" t="s">
        <v>13</v>
      </c>
      <c r="D947" s="1" t="s">
        <v>37</v>
      </c>
      <c r="E947" s="1" t="s">
        <v>1138</v>
      </c>
      <c r="F947" s="1" t="s">
        <v>132</v>
      </c>
      <c r="G947" s="1" t="str">
        <f>"02804751200"</f>
        <v>02804751200</v>
      </c>
      <c r="I947" s="1" t="s">
        <v>1140</v>
      </c>
      <c r="L947" s="1" t="s">
        <v>100</v>
      </c>
      <c r="AJ947" s="2">
        <v>45135</v>
      </c>
    </row>
    <row r="948" spans="1:36">
      <c r="A948" s="1" t="str">
        <f>"Z873C37EAC"</f>
        <v>Z873C37EAC</v>
      </c>
      <c r="B948" s="1" t="str">
        <f t="shared" si="14"/>
        <v>02406911202</v>
      </c>
      <c r="C948" s="1" t="s">
        <v>13</v>
      </c>
      <c r="D948" s="1" t="s">
        <v>37</v>
      </c>
      <c r="E948" s="1" t="s">
        <v>1138</v>
      </c>
      <c r="F948" s="1" t="s">
        <v>132</v>
      </c>
      <c r="G948" s="1" t="str">
        <f>"GRNNLS83R43A944G"</f>
        <v>GRNNLS83R43A944G</v>
      </c>
      <c r="I948" s="1" t="s">
        <v>1141</v>
      </c>
      <c r="L948" s="1" t="s">
        <v>100</v>
      </c>
      <c r="AJ948" s="2">
        <v>45135</v>
      </c>
    </row>
    <row r="949" spans="1:36">
      <c r="A949" s="1" t="str">
        <f t="shared" ref="A949:A957" si="16">"Z903C79938"</f>
        <v>Z903C79938</v>
      </c>
      <c r="B949" s="1" t="str">
        <f t="shared" si="14"/>
        <v>02406911202</v>
      </c>
      <c r="C949" s="1" t="s">
        <v>13</v>
      </c>
      <c r="D949" s="1" t="s">
        <v>37</v>
      </c>
      <c r="E949" s="1" t="s">
        <v>1142</v>
      </c>
      <c r="F949" s="1" t="s">
        <v>151</v>
      </c>
      <c r="G949" s="1" t="str">
        <f>"01884990381"</f>
        <v>01884990381</v>
      </c>
      <c r="I949" s="1" t="s">
        <v>1143</v>
      </c>
      <c r="J949" s="1" t="s">
        <v>1144</v>
      </c>
      <c r="K949" s="1" t="s">
        <v>141</v>
      </c>
      <c r="AJ949" s="2">
        <v>45197</v>
      </c>
    </row>
    <row r="950" spans="1:36">
      <c r="A950" s="1" t="str">
        <f t="shared" si="16"/>
        <v>Z903C79938</v>
      </c>
      <c r="B950" s="1" t="str">
        <f t="shared" si="14"/>
        <v>02406911202</v>
      </c>
      <c r="C950" s="1" t="s">
        <v>13</v>
      </c>
      <c r="D950" s="1" t="s">
        <v>37</v>
      </c>
      <c r="E950" s="1" t="s">
        <v>1142</v>
      </c>
      <c r="F950" s="1" t="s">
        <v>151</v>
      </c>
      <c r="G950" s="1" t="str">
        <f>"03650151206"</f>
        <v>03650151206</v>
      </c>
      <c r="I950" s="1" t="s">
        <v>1145</v>
      </c>
      <c r="J950" s="1" t="s">
        <v>1144</v>
      </c>
      <c r="K950" s="1" t="s">
        <v>141</v>
      </c>
      <c r="AJ950" s="2">
        <v>45197</v>
      </c>
    </row>
    <row r="951" spans="1:36">
      <c r="A951" s="1" t="str">
        <f t="shared" si="16"/>
        <v>Z903C79938</v>
      </c>
      <c r="B951" s="1" t="str">
        <f t="shared" si="14"/>
        <v>02406911202</v>
      </c>
      <c r="C951" s="1" t="s">
        <v>13</v>
      </c>
      <c r="D951" s="1" t="s">
        <v>37</v>
      </c>
      <c r="E951" s="1" t="s">
        <v>1142</v>
      </c>
      <c r="F951" s="1" t="s">
        <v>151</v>
      </c>
      <c r="G951" s="1" t="str">
        <f>"BLLRRT60L10A191L"</f>
        <v>BLLRRT60L10A191L</v>
      </c>
      <c r="I951" s="1" t="s">
        <v>1146</v>
      </c>
      <c r="J951" s="1" t="s">
        <v>1144</v>
      </c>
      <c r="K951" s="1" t="s">
        <v>139</v>
      </c>
      <c r="AJ951" s="2">
        <v>45197</v>
      </c>
    </row>
    <row r="952" spans="1:36">
      <c r="A952" s="1" t="str">
        <f t="shared" si="16"/>
        <v>Z903C79938</v>
      </c>
      <c r="B952" s="1" t="str">
        <f t="shared" si="14"/>
        <v>02406911202</v>
      </c>
      <c r="C952" s="1" t="s">
        <v>13</v>
      </c>
      <c r="D952" s="1" t="s">
        <v>37</v>
      </c>
      <c r="E952" s="1" t="s">
        <v>1142</v>
      </c>
      <c r="F952" s="1" t="s">
        <v>151</v>
      </c>
      <c r="G952" s="1" t="str">
        <f>"SNGLCA83R51C265N"</f>
        <v>SNGLCA83R51C265N</v>
      </c>
      <c r="I952" s="1" t="s">
        <v>1147</v>
      </c>
      <c r="J952" s="1" t="s">
        <v>1144</v>
      </c>
      <c r="K952" s="1" t="s">
        <v>141</v>
      </c>
      <c r="AJ952" s="2">
        <v>45197</v>
      </c>
    </row>
    <row r="953" spans="1:36">
      <c r="A953" s="1" t="str">
        <f t="shared" si="16"/>
        <v>Z903C79938</v>
      </c>
      <c r="B953" s="1" t="str">
        <f t="shared" si="14"/>
        <v>02406911202</v>
      </c>
      <c r="C953" s="1" t="s">
        <v>13</v>
      </c>
      <c r="D953" s="1" t="s">
        <v>37</v>
      </c>
      <c r="E953" s="1" t="s">
        <v>1142</v>
      </c>
      <c r="F953" s="1" t="s">
        <v>151</v>
      </c>
      <c r="G953" s="1" t="str">
        <f>"03856010370"</f>
        <v>03856010370</v>
      </c>
      <c r="I953" s="1" t="s">
        <v>1148</v>
      </c>
      <c r="J953" s="1" t="s">
        <v>1144</v>
      </c>
      <c r="K953" s="1" t="s">
        <v>141</v>
      </c>
      <c r="AJ953" s="2">
        <v>45197</v>
      </c>
    </row>
    <row r="954" spans="1:36">
      <c r="A954" s="1" t="str">
        <f t="shared" si="16"/>
        <v>Z903C79938</v>
      </c>
      <c r="B954" s="1" t="str">
        <f t="shared" si="14"/>
        <v>02406911202</v>
      </c>
      <c r="C954" s="1" t="s">
        <v>13</v>
      </c>
      <c r="D954" s="1" t="s">
        <v>37</v>
      </c>
      <c r="E954" s="1" t="s">
        <v>1142</v>
      </c>
      <c r="F954" s="1" t="s">
        <v>151</v>
      </c>
      <c r="G954" s="1" t="str">
        <f>"02530590401"</f>
        <v>02530590401</v>
      </c>
      <c r="I954" s="1" t="s">
        <v>1149</v>
      </c>
      <c r="J954" s="1" t="s">
        <v>1144</v>
      </c>
      <c r="K954" s="1" t="s">
        <v>141</v>
      </c>
      <c r="AJ954" s="2">
        <v>45197</v>
      </c>
    </row>
    <row r="955" spans="1:36">
      <c r="A955" s="1" t="str">
        <f t="shared" si="16"/>
        <v>Z903C79938</v>
      </c>
      <c r="B955" s="1" t="str">
        <f t="shared" si="14"/>
        <v>02406911202</v>
      </c>
      <c r="C955" s="1" t="s">
        <v>13</v>
      </c>
      <c r="D955" s="1" t="s">
        <v>37</v>
      </c>
      <c r="E955" s="1" t="s">
        <v>1142</v>
      </c>
      <c r="F955" s="1" t="s">
        <v>151</v>
      </c>
      <c r="G955" s="1" t="str">
        <f>"CSDLNE79P59D458A"</f>
        <v>CSDLNE79P59D458A</v>
      </c>
      <c r="I955" s="1" t="s">
        <v>1150</v>
      </c>
      <c r="J955" s="1" t="s">
        <v>1144</v>
      </c>
      <c r="K955" s="1" t="s">
        <v>141</v>
      </c>
      <c r="AJ955" s="2">
        <v>45197</v>
      </c>
    </row>
    <row r="956" spans="1:36">
      <c r="A956" s="1" t="str">
        <f t="shared" si="16"/>
        <v>Z903C79938</v>
      </c>
      <c r="B956" s="1" t="str">
        <f t="shared" si="14"/>
        <v>02406911202</v>
      </c>
      <c r="C956" s="1" t="s">
        <v>13</v>
      </c>
      <c r="D956" s="1" t="s">
        <v>37</v>
      </c>
      <c r="E956" s="1" t="s">
        <v>1142</v>
      </c>
      <c r="F956" s="1" t="s">
        <v>151</v>
      </c>
      <c r="G956" s="1" t="str">
        <f>"PLRNDR79D07G916W"</f>
        <v>PLRNDR79D07G916W</v>
      </c>
      <c r="I956" s="1" t="s">
        <v>1151</v>
      </c>
      <c r="J956" s="1" t="s">
        <v>1144</v>
      </c>
      <c r="K956" s="1" t="s">
        <v>141</v>
      </c>
      <c r="AJ956" s="2">
        <v>45197</v>
      </c>
    </row>
    <row r="957" spans="1:36">
      <c r="A957" s="1" t="str">
        <f t="shared" si="16"/>
        <v>Z903C79938</v>
      </c>
      <c r="B957" s="1" t="str">
        <f t="shared" si="14"/>
        <v>02406911202</v>
      </c>
      <c r="C957" s="1" t="s">
        <v>13</v>
      </c>
      <c r="D957" s="1" t="s">
        <v>37</v>
      </c>
      <c r="E957" s="1" t="s">
        <v>1142</v>
      </c>
      <c r="F957" s="1" t="s">
        <v>151</v>
      </c>
      <c r="I957" s="1" t="s">
        <v>1144</v>
      </c>
      <c r="L957" s="1" t="s">
        <v>43</v>
      </c>
      <c r="M957" s="1">
        <v>3085.27</v>
      </c>
      <c r="AG957" s="1">
        <v>0</v>
      </c>
      <c r="AH957" s="2">
        <v>45189</v>
      </c>
      <c r="AI957" s="2">
        <v>45230</v>
      </c>
      <c r="AJ957" s="2">
        <v>45197</v>
      </c>
    </row>
    <row r="958" spans="1:36">
      <c r="A958" s="1" t="str">
        <f t="shared" ref="A958:A966" si="17">"Z5B3C798A9"</f>
        <v>Z5B3C798A9</v>
      </c>
      <c r="B958" s="1" t="str">
        <f t="shared" si="14"/>
        <v>02406911202</v>
      </c>
      <c r="C958" s="1" t="s">
        <v>13</v>
      </c>
      <c r="D958" s="1" t="s">
        <v>37</v>
      </c>
      <c r="E958" s="1" t="s">
        <v>1152</v>
      </c>
      <c r="F958" s="1" t="s">
        <v>151</v>
      </c>
      <c r="G958" s="1" t="str">
        <f>"01884990381"</f>
        <v>01884990381</v>
      </c>
      <c r="I958" s="1" t="s">
        <v>1143</v>
      </c>
      <c r="J958" s="1" t="s">
        <v>1144</v>
      </c>
      <c r="K958" s="1" t="s">
        <v>141</v>
      </c>
      <c r="AJ958" s="2">
        <v>45197</v>
      </c>
    </row>
    <row r="959" spans="1:36">
      <c r="A959" s="1" t="str">
        <f t="shared" si="17"/>
        <v>Z5B3C798A9</v>
      </c>
      <c r="B959" s="1" t="str">
        <f t="shared" si="14"/>
        <v>02406911202</v>
      </c>
      <c r="C959" s="1" t="s">
        <v>13</v>
      </c>
      <c r="D959" s="1" t="s">
        <v>37</v>
      </c>
      <c r="E959" s="1" t="s">
        <v>1152</v>
      </c>
      <c r="F959" s="1" t="s">
        <v>151</v>
      </c>
      <c r="G959" s="1" t="str">
        <f>"03650151206"</f>
        <v>03650151206</v>
      </c>
      <c r="I959" s="1" t="s">
        <v>1145</v>
      </c>
      <c r="J959" s="1" t="s">
        <v>1144</v>
      </c>
      <c r="K959" s="1" t="s">
        <v>141</v>
      </c>
      <c r="AJ959" s="2">
        <v>45197</v>
      </c>
    </row>
    <row r="960" spans="1:36">
      <c r="A960" s="1" t="str">
        <f t="shared" si="17"/>
        <v>Z5B3C798A9</v>
      </c>
      <c r="B960" s="1" t="str">
        <f t="shared" si="14"/>
        <v>02406911202</v>
      </c>
      <c r="C960" s="1" t="s">
        <v>13</v>
      </c>
      <c r="D960" s="1" t="s">
        <v>37</v>
      </c>
      <c r="E960" s="1" t="s">
        <v>1152</v>
      </c>
      <c r="F960" s="1" t="s">
        <v>151</v>
      </c>
      <c r="G960" s="1" t="str">
        <f>"BLLRRT60L10A191L"</f>
        <v>BLLRRT60L10A191L</v>
      </c>
      <c r="I960" s="1" t="s">
        <v>1146</v>
      </c>
      <c r="J960" s="1" t="s">
        <v>1144</v>
      </c>
      <c r="K960" s="1" t="s">
        <v>139</v>
      </c>
      <c r="AJ960" s="2">
        <v>45197</v>
      </c>
    </row>
    <row r="961" spans="1:36">
      <c r="A961" s="1" t="str">
        <f t="shared" si="17"/>
        <v>Z5B3C798A9</v>
      </c>
      <c r="B961" s="1" t="str">
        <f t="shared" si="14"/>
        <v>02406911202</v>
      </c>
      <c r="C961" s="1" t="s">
        <v>13</v>
      </c>
      <c r="D961" s="1" t="s">
        <v>37</v>
      </c>
      <c r="E961" s="1" t="s">
        <v>1152</v>
      </c>
      <c r="F961" s="1" t="s">
        <v>151</v>
      </c>
      <c r="G961" s="1" t="str">
        <f>"SNGLCA83R51C265N"</f>
        <v>SNGLCA83R51C265N</v>
      </c>
      <c r="I961" s="1" t="s">
        <v>1147</v>
      </c>
      <c r="J961" s="1" t="s">
        <v>1144</v>
      </c>
      <c r="K961" s="1" t="s">
        <v>141</v>
      </c>
      <c r="AJ961" s="2">
        <v>45197</v>
      </c>
    </row>
    <row r="962" spans="1:36">
      <c r="A962" s="1" t="str">
        <f t="shared" si="17"/>
        <v>Z5B3C798A9</v>
      </c>
      <c r="B962" s="1" t="str">
        <f t="shared" ref="B962:B1025" si="18">"02406911202"</f>
        <v>02406911202</v>
      </c>
      <c r="C962" s="1" t="s">
        <v>13</v>
      </c>
      <c r="D962" s="1" t="s">
        <v>37</v>
      </c>
      <c r="E962" s="1" t="s">
        <v>1152</v>
      </c>
      <c r="F962" s="1" t="s">
        <v>151</v>
      </c>
      <c r="G962" s="1" t="str">
        <f>"03856010370"</f>
        <v>03856010370</v>
      </c>
      <c r="I962" s="1" t="s">
        <v>1148</v>
      </c>
      <c r="J962" s="1" t="s">
        <v>1144</v>
      </c>
      <c r="K962" s="1" t="s">
        <v>141</v>
      </c>
      <c r="AJ962" s="2">
        <v>45197</v>
      </c>
    </row>
    <row r="963" spans="1:36">
      <c r="A963" s="1" t="str">
        <f t="shared" si="17"/>
        <v>Z5B3C798A9</v>
      </c>
      <c r="B963" s="1" t="str">
        <f t="shared" si="18"/>
        <v>02406911202</v>
      </c>
      <c r="C963" s="1" t="s">
        <v>13</v>
      </c>
      <c r="D963" s="1" t="s">
        <v>37</v>
      </c>
      <c r="E963" s="1" t="s">
        <v>1152</v>
      </c>
      <c r="F963" s="1" t="s">
        <v>151</v>
      </c>
      <c r="G963" s="1" t="str">
        <f>"02530590401"</f>
        <v>02530590401</v>
      </c>
      <c r="I963" s="1" t="s">
        <v>1149</v>
      </c>
      <c r="J963" s="1" t="s">
        <v>1144</v>
      </c>
      <c r="K963" s="1" t="s">
        <v>141</v>
      </c>
      <c r="AJ963" s="2">
        <v>45197</v>
      </c>
    </row>
    <row r="964" spans="1:36">
      <c r="A964" s="1" t="str">
        <f t="shared" si="17"/>
        <v>Z5B3C798A9</v>
      </c>
      <c r="B964" s="1" t="str">
        <f t="shared" si="18"/>
        <v>02406911202</v>
      </c>
      <c r="C964" s="1" t="s">
        <v>13</v>
      </c>
      <c r="D964" s="1" t="s">
        <v>37</v>
      </c>
      <c r="E964" s="1" t="s">
        <v>1152</v>
      </c>
      <c r="F964" s="1" t="s">
        <v>151</v>
      </c>
      <c r="G964" s="1" t="str">
        <f>"CSDLNE79P59D458A"</f>
        <v>CSDLNE79P59D458A</v>
      </c>
      <c r="I964" s="1" t="s">
        <v>1150</v>
      </c>
      <c r="J964" s="1" t="s">
        <v>1144</v>
      </c>
      <c r="K964" s="1" t="s">
        <v>141</v>
      </c>
      <c r="AJ964" s="2">
        <v>45197</v>
      </c>
    </row>
    <row r="965" spans="1:36">
      <c r="A965" s="1" t="str">
        <f t="shared" si="17"/>
        <v>Z5B3C798A9</v>
      </c>
      <c r="B965" s="1" t="str">
        <f t="shared" si="18"/>
        <v>02406911202</v>
      </c>
      <c r="C965" s="1" t="s">
        <v>13</v>
      </c>
      <c r="D965" s="1" t="s">
        <v>37</v>
      </c>
      <c r="E965" s="1" t="s">
        <v>1152</v>
      </c>
      <c r="F965" s="1" t="s">
        <v>151</v>
      </c>
      <c r="G965" s="1" t="str">
        <f>"PLRNDR79D07G916W"</f>
        <v>PLRNDR79D07G916W</v>
      </c>
      <c r="I965" s="1" t="s">
        <v>1151</v>
      </c>
      <c r="J965" s="1" t="s">
        <v>1144</v>
      </c>
      <c r="K965" s="1" t="s">
        <v>141</v>
      </c>
      <c r="AJ965" s="2">
        <v>45197</v>
      </c>
    </row>
    <row r="966" spans="1:36">
      <c r="A966" s="1" t="str">
        <f t="shared" si="17"/>
        <v>Z5B3C798A9</v>
      </c>
      <c r="B966" s="1" t="str">
        <f t="shared" si="18"/>
        <v>02406911202</v>
      </c>
      <c r="C966" s="1" t="s">
        <v>13</v>
      </c>
      <c r="D966" s="1" t="s">
        <v>37</v>
      </c>
      <c r="E966" s="1" t="s">
        <v>1152</v>
      </c>
      <c r="F966" s="1" t="s">
        <v>151</v>
      </c>
      <c r="I966" s="1" t="s">
        <v>1144</v>
      </c>
      <c r="L966" s="1" t="s">
        <v>43</v>
      </c>
      <c r="M966" s="1">
        <v>9486.44</v>
      </c>
      <c r="AG966" s="1">
        <v>0</v>
      </c>
      <c r="AH966" s="2">
        <v>45200</v>
      </c>
      <c r="AI966" s="2">
        <v>45291</v>
      </c>
      <c r="AJ966" s="2">
        <v>45197</v>
      </c>
    </row>
    <row r="967" spans="1:36">
      <c r="A967" s="1" t="str">
        <f t="shared" ref="A967:A975" si="19">"Z163C799AC"</f>
        <v>Z163C799AC</v>
      </c>
      <c r="B967" s="1" t="str">
        <f t="shared" si="18"/>
        <v>02406911202</v>
      </c>
      <c r="C967" s="1" t="s">
        <v>13</v>
      </c>
      <c r="D967" s="1" t="s">
        <v>37</v>
      </c>
      <c r="E967" s="1" t="s">
        <v>1153</v>
      </c>
      <c r="F967" s="1" t="s">
        <v>151</v>
      </c>
      <c r="G967" s="1" t="str">
        <f>"01884990381"</f>
        <v>01884990381</v>
      </c>
      <c r="I967" s="1" t="s">
        <v>1143</v>
      </c>
      <c r="J967" s="1" t="s">
        <v>1144</v>
      </c>
      <c r="K967" s="1" t="s">
        <v>141</v>
      </c>
      <c r="AJ967" s="2">
        <v>45197</v>
      </c>
    </row>
    <row r="968" spans="1:36">
      <c r="A968" s="1" t="str">
        <f t="shared" si="19"/>
        <v>Z163C799AC</v>
      </c>
      <c r="B968" s="1" t="str">
        <f t="shared" si="18"/>
        <v>02406911202</v>
      </c>
      <c r="C968" s="1" t="s">
        <v>13</v>
      </c>
      <c r="D968" s="1" t="s">
        <v>37</v>
      </c>
      <c r="E968" s="1" t="s">
        <v>1153</v>
      </c>
      <c r="F968" s="1" t="s">
        <v>151</v>
      </c>
      <c r="G968" s="1" t="str">
        <f>"03650151206"</f>
        <v>03650151206</v>
      </c>
      <c r="I968" s="1" t="s">
        <v>1145</v>
      </c>
      <c r="J968" s="1" t="s">
        <v>1144</v>
      </c>
      <c r="K968" s="1" t="s">
        <v>141</v>
      </c>
      <c r="AJ968" s="2">
        <v>45197</v>
      </c>
    </row>
    <row r="969" spans="1:36">
      <c r="A969" s="1" t="str">
        <f t="shared" si="19"/>
        <v>Z163C799AC</v>
      </c>
      <c r="B969" s="1" t="str">
        <f t="shared" si="18"/>
        <v>02406911202</v>
      </c>
      <c r="C969" s="1" t="s">
        <v>13</v>
      </c>
      <c r="D969" s="1" t="s">
        <v>37</v>
      </c>
      <c r="E969" s="1" t="s">
        <v>1153</v>
      </c>
      <c r="F969" s="1" t="s">
        <v>151</v>
      </c>
      <c r="G969" s="1" t="str">
        <f>"BLLRRT60L10A191L"</f>
        <v>BLLRRT60L10A191L</v>
      </c>
      <c r="I969" s="1" t="s">
        <v>1146</v>
      </c>
      <c r="J969" s="1" t="s">
        <v>1144</v>
      </c>
      <c r="K969" s="1" t="s">
        <v>139</v>
      </c>
      <c r="AJ969" s="2">
        <v>45197</v>
      </c>
    </row>
    <row r="970" spans="1:36">
      <c r="A970" s="1" t="str">
        <f t="shared" si="19"/>
        <v>Z163C799AC</v>
      </c>
      <c r="B970" s="1" t="str">
        <f t="shared" si="18"/>
        <v>02406911202</v>
      </c>
      <c r="C970" s="1" t="s">
        <v>13</v>
      </c>
      <c r="D970" s="1" t="s">
        <v>37</v>
      </c>
      <c r="E970" s="1" t="s">
        <v>1153</v>
      </c>
      <c r="F970" s="1" t="s">
        <v>151</v>
      </c>
      <c r="G970" s="1" t="str">
        <f>"SNGLCA83R51C265N"</f>
        <v>SNGLCA83R51C265N</v>
      </c>
      <c r="I970" s="1" t="s">
        <v>1147</v>
      </c>
      <c r="J970" s="1" t="s">
        <v>1144</v>
      </c>
      <c r="K970" s="1" t="s">
        <v>141</v>
      </c>
      <c r="AJ970" s="2">
        <v>45197</v>
      </c>
    </row>
    <row r="971" spans="1:36">
      <c r="A971" s="1" t="str">
        <f t="shared" si="19"/>
        <v>Z163C799AC</v>
      </c>
      <c r="B971" s="1" t="str">
        <f t="shared" si="18"/>
        <v>02406911202</v>
      </c>
      <c r="C971" s="1" t="s">
        <v>13</v>
      </c>
      <c r="D971" s="1" t="s">
        <v>37</v>
      </c>
      <c r="E971" s="1" t="s">
        <v>1153</v>
      </c>
      <c r="F971" s="1" t="s">
        <v>151</v>
      </c>
      <c r="G971" s="1" t="str">
        <f>"03856010370"</f>
        <v>03856010370</v>
      </c>
      <c r="I971" s="1" t="s">
        <v>1148</v>
      </c>
      <c r="J971" s="1" t="s">
        <v>1144</v>
      </c>
      <c r="K971" s="1" t="s">
        <v>141</v>
      </c>
      <c r="AJ971" s="2">
        <v>45197</v>
      </c>
    </row>
    <row r="972" spans="1:36">
      <c r="A972" s="1" t="str">
        <f t="shared" si="19"/>
        <v>Z163C799AC</v>
      </c>
      <c r="B972" s="1" t="str">
        <f t="shared" si="18"/>
        <v>02406911202</v>
      </c>
      <c r="C972" s="1" t="s">
        <v>13</v>
      </c>
      <c r="D972" s="1" t="s">
        <v>37</v>
      </c>
      <c r="E972" s="1" t="s">
        <v>1153</v>
      </c>
      <c r="F972" s="1" t="s">
        <v>151</v>
      </c>
      <c r="G972" s="1" t="str">
        <f>"02530590401"</f>
        <v>02530590401</v>
      </c>
      <c r="I972" s="1" t="s">
        <v>1149</v>
      </c>
      <c r="J972" s="1" t="s">
        <v>1144</v>
      </c>
      <c r="K972" s="1" t="s">
        <v>141</v>
      </c>
      <c r="AJ972" s="2">
        <v>45197</v>
      </c>
    </row>
    <row r="973" spans="1:36">
      <c r="A973" s="1" t="str">
        <f t="shared" si="19"/>
        <v>Z163C799AC</v>
      </c>
      <c r="B973" s="1" t="str">
        <f t="shared" si="18"/>
        <v>02406911202</v>
      </c>
      <c r="C973" s="1" t="s">
        <v>13</v>
      </c>
      <c r="D973" s="1" t="s">
        <v>37</v>
      </c>
      <c r="E973" s="1" t="s">
        <v>1153</v>
      </c>
      <c r="F973" s="1" t="s">
        <v>151</v>
      </c>
      <c r="G973" s="1" t="str">
        <f>"CSDLNE79P59D458A"</f>
        <v>CSDLNE79P59D458A</v>
      </c>
      <c r="I973" s="1" t="s">
        <v>1150</v>
      </c>
      <c r="J973" s="1" t="s">
        <v>1144</v>
      </c>
      <c r="K973" s="1" t="s">
        <v>141</v>
      </c>
      <c r="AJ973" s="2">
        <v>45197</v>
      </c>
    </row>
    <row r="974" spans="1:36">
      <c r="A974" s="1" t="str">
        <f t="shared" si="19"/>
        <v>Z163C799AC</v>
      </c>
      <c r="B974" s="1" t="str">
        <f t="shared" si="18"/>
        <v>02406911202</v>
      </c>
      <c r="C974" s="1" t="s">
        <v>13</v>
      </c>
      <c r="D974" s="1" t="s">
        <v>37</v>
      </c>
      <c r="E974" s="1" t="s">
        <v>1153</v>
      </c>
      <c r="F974" s="1" t="s">
        <v>151</v>
      </c>
      <c r="G974" s="1" t="str">
        <f>"PLRNDR79D07G916W"</f>
        <v>PLRNDR79D07G916W</v>
      </c>
      <c r="I974" s="1" t="s">
        <v>1151</v>
      </c>
      <c r="J974" s="1" t="s">
        <v>1144</v>
      </c>
      <c r="K974" s="1" t="s">
        <v>141</v>
      </c>
      <c r="AJ974" s="2">
        <v>45197</v>
      </c>
    </row>
    <row r="975" spans="1:36">
      <c r="A975" s="1" t="str">
        <f t="shared" si="19"/>
        <v>Z163C799AC</v>
      </c>
      <c r="B975" s="1" t="str">
        <f t="shared" si="18"/>
        <v>02406911202</v>
      </c>
      <c r="C975" s="1" t="s">
        <v>13</v>
      </c>
      <c r="D975" s="1" t="s">
        <v>37</v>
      </c>
      <c r="E975" s="1" t="s">
        <v>1153</v>
      </c>
      <c r="F975" s="1" t="s">
        <v>151</v>
      </c>
      <c r="I975" s="1" t="s">
        <v>1144</v>
      </c>
      <c r="L975" s="1" t="s">
        <v>43</v>
      </c>
      <c r="M975" s="1">
        <v>3569.8</v>
      </c>
      <c r="AG975" s="1">
        <v>0</v>
      </c>
      <c r="AH975" s="2">
        <v>45214</v>
      </c>
      <c r="AI975" s="2">
        <v>45291</v>
      </c>
      <c r="AJ975" s="2">
        <v>45197</v>
      </c>
    </row>
    <row r="976" spans="1:36">
      <c r="A976" s="1" t="str">
        <f>"A011B60A04"</f>
        <v>A011B60A04</v>
      </c>
      <c r="B976" s="1" t="str">
        <f t="shared" si="18"/>
        <v>02406911202</v>
      </c>
      <c r="C976" s="1" t="s">
        <v>13</v>
      </c>
      <c r="D976" s="1" t="s">
        <v>37</v>
      </c>
      <c r="E976" s="1" t="s">
        <v>1154</v>
      </c>
      <c r="F976" s="1" t="s">
        <v>151</v>
      </c>
      <c r="G976" s="1" t="str">
        <f>"00311390371"</f>
        <v>00311390371</v>
      </c>
      <c r="I976" s="1" t="s">
        <v>1155</v>
      </c>
      <c r="J976" s="1" t="s">
        <v>1156</v>
      </c>
      <c r="K976" s="1" t="s">
        <v>139</v>
      </c>
      <c r="AJ976" s="2">
        <v>45188</v>
      </c>
    </row>
    <row r="977" spans="1:36">
      <c r="A977" s="1" t="str">
        <f>"A011B60A04"</f>
        <v>A011B60A04</v>
      </c>
      <c r="B977" s="1" t="str">
        <f t="shared" si="18"/>
        <v>02406911202</v>
      </c>
      <c r="C977" s="1" t="s">
        <v>13</v>
      </c>
      <c r="D977" s="1" t="s">
        <v>37</v>
      </c>
      <c r="E977" s="1" t="s">
        <v>1154</v>
      </c>
      <c r="F977" s="1" t="s">
        <v>151</v>
      </c>
      <c r="G977" s="1" t="str">
        <f>"02781971201"</f>
        <v>02781971201</v>
      </c>
      <c r="I977" s="1" t="s">
        <v>1157</v>
      </c>
      <c r="J977" s="1" t="s">
        <v>1156</v>
      </c>
      <c r="K977" s="1" t="s">
        <v>141</v>
      </c>
      <c r="AJ977" s="2">
        <v>45188</v>
      </c>
    </row>
    <row r="978" spans="1:36">
      <c r="A978" s="1" t="str">
        <f>"A011B60A04"</f>
        <v>A011B60A04</v>
      </c>
      <c r="B978" s="1" t="str">
        <f t="shared" si="18"/>
        <v>02406911202</v>
      </c>
      <c r="C978" s="1" t="s">
        <v>13</v>
      </c>
      <c r="D978" s="1" t="s">
        <v>37</v>
      </c>
      <c r="E978" s="1" t="s">
        <v>1154</v>
      </c>
      <c r="F978" s="1" t="s">
        <v>151</v>
      </c>
      <c r="G978" s="1" t="str">
        <f>"01917390492"</f>
        <v>01917390492</v>
      </c>
      <c r="I978" s="1" t="s">
        <v>1158</v>
      </c>
      <c r="J978" s="1" t="s">
        <v>1156</v>
      </c>
      <c r="K978" s="1" t="s">
        <v>141</v>
      </c>
      <c r="AJ978" s="2">
        <v>45188</v>
      </c>
    </row>
    <row r="979" spans="1:36">
      <c r="A979" s="1" t="str">
        <f>"A011B60A04"</f>
        <v>A011B60A04</v>
      </c>
      <c r="B979" s="1" t="str">
        <f t="shared" si="18"/>
        <v>02406911202</v>
      </c>
      <c r="C979" s="1" t="s">
        <v>13</v>
      </c>
      <c r="D979" s="1" t="s">
        <v>37</v>
      </c>
      <c r="E979" s="1" t="s">
        <v>1154</v>
      </c>
      <c r="F979" s="1" t="s">
        <v>151</v>
      </c>
      <c r="I979" s="1" t="s">
        <v>1156</v>
      </c>
      <c r="L979" s="1" t="s">
        <v>43</v>
      </c>
      <c r="M979" s="1">
        <v>192835.01</v>
      </c>
      <c r="AG979" s="1">
        <v>0</v>
      </c>
      <c r="AH979" s="2">
        <v>45195</v>
      </c>
      <c r="AI979" s="2">
        <v>45315</v>
      </c>
      <c r="AJ979" s="2">
        <v>45188</v>
      </c>
    </row>
    <row r="980" spans="1:36">
      <c r="A980" s="1" t="str">
        <f>"A011B20535"</f>
        <v>A011B20535</v>
      </c>
      <c r="B980" s="1" t="str">
        <f t="shared" si="18"/>
        <v>02406911202</v>
      </c>
      <c r="C980" s="1" t="s">
        <v>13</v>
      </c>
      <c r="D980" s="1" t="s">
        <v>37</v>
      </c>
      <c r="E980" s="1" t="s">
        <v>1159</v>
      </c>
      <c r="F980" s="1" t="s">
        <v>151</v>
      </c>
      <c r="G980" s="1" t="str">
        <f>"00311390371"</f>
        <v>00311390371</v>
      </c>
      <c r="I980" s="1" t="s">
        <v>1155</v>
      </c>
      <c r="J980" s="1" t="s">
        <v>1156</v>
      </c>
      <c r="K980" s="1" t="s">
        <v>139</v>
      </c>
      <c r="AJ980" s="2">
        <v>45188</v>
      </c>
    </row>
    <row r="981" spans="1:36">
      <c r="A981" s="1" t="str">
        <f>"A011B20535"</f>
        <v>A011B20535</v>
      </c>
      <c r="B981" s="1" t="str">
        <f t="shared" si="18"/>
        <v>02406911202</v>
      </c>
      <c r="C981" s="1" t="s">
        <v>13</v>
      </c>
      <c r="D981" s="1" t="s">
        <v>37</v>
      </c>
      <c r="E981" s="1" t="s">
        <v>1159</v>
      </c>
      <c r="F981" s="1" t="s">
        <v>151</v>
      </c>
      <c r="G981" s="1" t="str">
        <f>"02781971201"</f>
        <v>02781971201</v>
      </c>
      <c r="I981" s="1" t="s">
        <v>1157</v>
      </c>
      <c r="J981" s="1" t="s">
        <v>1156</v>
      </c>
      <c r="K981" s="1" t="s">
        <v>141</v>
      </c>
      <c r="AJ981" s="2">
        <v>45188</v>
      </c>
    </row>
    <row r="982" spans="1:36">
      <c r="A982" s="1" t="str">
        <f>"A011B20535"</f>
        <v>A011B20535</v>
      </c>
      <c r="B982" s="1" t="str">
        <f t="shared" si="18"/>
        <v>02406911202</v>
      </c>
      <c r="C982" s="1" t="s">
        <v>13</v>
      </c>
      <c r="D982" s="1" t="s">
        <v>37</v>
      </c>
      <c r="E982" s="1" t="s">
        <v>1159</v>
      </c>
      <c r="F982" s="1" t="s">
        <v>151</v>
      </c>
      <c r="G982" s="1" t="str">
        <f>"01917390492"</f>
        <v>01917390492</v>
      </c>
      <c r="I982" s="1" t="s">
        <v>1158</v>
      </c>
      <c r="J982" s="1" t="s">
        <v>1156</v>
      </c>
      <c r="K982" s="1" t="s">
        <v>141</v>
      </c>
      <c r="AJ982" s="2">
        <v>45188</v>
      </c>
    </row>
    <row r="983" spans="1:36">
      <c r="A983" s="1" t="str">
        <f>"A00F7F9300"</f>
        <v>A00F7F9300</v>
      </c>
      <c r="B983" s="1" t="str">
        <f t="shared" si="18"/>
        <v>02406911202</v>
      </c>
      <c r="C983" s="1" t="s">
        <v>13</v>
      </c>
      <c r="D983" s="1" t="s">
        <v>37</v>
      </c>
      <c r="E983" s="1" t="s">
        <v>1160</v>
      </c>
      <c r="F983" s="1" t="s">
        <v>151</v>
      </c>
      <c r="G983" s="1" t="str">
        <f>"00311390371"</f>
        <v>00311390371</v>
      </c>
      <c r="I983" s="1" t="s">
        <v>1155</v>
      </c>
      <c r="J983" s="1" t="s">
        <v>1156</v>
      </c>
      <c r="K983" s="1" t="s">
        <v>139</v>
      </c>
      <c r="AJ983" s="2">
        <v>45184</v>
      </c>
    </row>
    <row r="984" spans="1:36">
      <c r="A984" s="1" t="str">
        <f>"A00F7F9300"</f>
        <v>A00F7F9300</v>
      </c>
      <c r="B984" s="1" t="str">
        <f t="shared" si="18"/>
        <v>02406911202</v>
      </c>
      <c r="C984" s="1" t="s">
        <v>13</v>
      </c>
      <c r="D984" s="1" t="s">
        <v>37</v>
      </c>
      <c r="E984" s="1" t="s">
        <v>1160</v>
      </c>
      <c r="F984" s="1" t="s">
        <v>151</v>
      </c>
      <c r="G984" s="1" t="str">
        <f>"02781971201"</f>
        <v>02781971201</v>
      </c>
      <c r="I984" s="1" t="s">
        <v>1157</v>
      </c>
      <c r="J984" s="1" t="s">
        <v>1156</v>
      </c>
      <c r="K984" s="1" t="s">
        <v>141</v>
      </c>
      <c r="AJ984" s="2">
        <v>45184</v>
      </c>
    </row>
    <row r="985" spans="1:36">
      <c r="A985" s="1" t="str">
        <f>"A00F7F9300"</f>
        <v>A00F7F9300</v>
      </c>
      <c r="B985" s="1" t="str">
        <f t="shared" si="18"/>
        <v>02406911202</v>
      </c>
      <c r="C985" s="1" t="s">
        <v>13</v>
      </c>
      <c r="D985" s="1" t="s">
        <v>37</v>
      </c>
      <c r="E985" s="1" t="s">
        <v>1160</v>
      </c>
      <c r="F985" s="1" t="s">
        <v>151</v>
      </c>
      <c r="G985" s="1" t="str">
        <f>"01917390492"</f>
        <v>01917390492</v>
      </c>
      <c r="I985" s="1" t="s">
        <v>1158</v>
      </c>
      <c r="J985" s="1" t="s">
        <v>1156</v>
      </c>
      <c r="K985" s="1" t="s">
        <v>141</v>
      </c>
      <c r="AJ985" s="2">
        <v>45184</v>
      </c>
    </row>
    <row r="986" spans="1:36">
      <c r="A986" s="1" t="str">
        <f>"A00F7F9300"</f>
        <v>A00F7F9300</v>
      </c>
      <c r="B986" s="1" t="str">
        <f t="shared" si="18"/>
        <v>02406911202</v>
      </c>
      <c r="C986" s="1" t="s">
        <v>13</v>
      </c>
      <c r="D986" s="1" t="s">
        <v>37</v>
      </c>
      <c r="E986" s="1" t="s">
        <v>1160</v>
      </c>
      <c r="F986" s="1" t="s">
        <v>151</v>
      </c>
      <c r="I986" s="1" t="s">
        <v>1156</v>
      </c>
      <c r="L986" s="1" t="s">
        <v>43</v>
      </c>
      <c r="M986" s="1">
        <v>605068.84</v>
      </c>
      <c r="AG986" s="1">
        <v>0</v>
      </c>
      <c r="AH986" s="2">
        <v>45188</v>
      </c>
      <c r="AI986" s="2">
        <v>45450</v>
      </c>
      <c r="AJ986" s="2">
        <v>45184</v>
      </c>
    </row>
    <row r="987" spans="1:36">
      <c r="A987" s="1" t="str">
        <f>"Z103C643D5"</f>
        <v>Z103C643D5</v>
      </c>
      <c r="B987" s="1" t="str">
        <f t="shared" si="18"/>
        <v>02406911202</v>
      </c>
      <c r="C987" s="1" t="s">
        <v>13</v>
      </c>
      <c r="D987" s="1" t="s">
        <v>37</v>
      </c>
      <c r="E987" s="1" t="s">
        <v>1161</v>
      </c>
      <c r="F987" s="1" t="s">
        <v>158</v>
      </c>
      <c r="G987" s="1" t="str">
        <f>"02262621200"</f>
        <v>02262621200</v>
      </c>
      <c r="I987" s="1" t="s">
        <v>1162</v>
      </c>
      <c r="L987" s="1" t="s">
        <v>43</v>
      </c>
      <c r="M987" s="1">
        <v>777.93</v>
      </c>
      <c r="AG987" s="1">
        <v>0</v>
      </c>
      <c r="AH987" s="2">
        <v>45189</v>
      </c>
      <c r="AI987" s="2">
        <v>45199</v>
      </c>
      <c r="AJ987" s="2">
        <v>45189</v>
      </c>
    </row>
    <row r="988" spans="1:36">
      <c r="A988" s="1" t="str">
        <f>"ZF33CA3FEA"</f>
        <v>ZF33CA3FEA</v>
      </c>
      <c r="B988" s="1" t="str">
        <f t="shared" si="18"/>
        <v>02406911202</v>
      </c>
      <c r="C988" s="1" t="s">
        <v>13</v>
      </c>
      <c r="D988" s="1" t="s">
        <v>37</v>
      </c>
      <c r="E988" s="1" t="s">
        <v>1163</v>
      </c>
      <c r="F988" s="1" t="s">
        <v>158</v>
      </c>
      <c r="G988" s="1" t="str">
        <f>"05069070158"</f>
        <v>05069070158</v>
      </c>
      <c r="I988" s="1" t="s">
        <v>1164</v>
      </c>
      <c r="L988" s="1" t="s">
        <v>43</v>
      </c>
      <c r="M988" s="1">
        <v>1240</v>
      </c>
      <c r="AG988" s="1">
        <v>0</v>
      </c>
      <c r="AH988" s="2">
        <v>45198</v>
      </c>
      <c r="AI988" s="2">
        <v>45215</v>
      </c>
      <c r="AJ988" s="2">
        <v>45198</v>
      </c>
    </row>
    <row r="989" spans="1:36">
      <c r="A989" s="1" t="str">
        <f>"Z1B3CACBC0"</f>
        <v>Z1B3CACBC0</v>
      </c>
      <c r="B989" s="1" t="str">
        <f t="shared" si="18"/>
        <v>02406911202</v>
      </c>
      <c r="C989" s="1" t="s">
        <v>13</v>
      </c>
      <c r="D989" s="1" t="s">
        <v>37</v>
      </c>
      <c r="E989" s="1" t="s">
        <v>1165</v>
      </c>
      <c r="F989" s="1" t="s">
        <v>158</v>
      </c>
      <c r="G989" s="1" t="str">
        <f>"05069070158"</f>
        <v>05069070158</v>
      </c>
      <c r="I989" s="1" t="s">
        <v>1164</v>
      </c>
      <c r="L989" s="1" t="s">
        <v>43</v>
      </c>
      <c r="M989" s="1">
        <v>750</v>
      </c>
      <c r="AG989" s="1">
        <v>0</v>
      </c>
      <c r="AH989" s="2">
        <v>45201</v>
      </c>
      <c r="AI989" s="2">
        <v>45229</v>
      </c>
      <c r="AJ989" s="2">
        <v>45201</v>
      </c>
    </row>
    <row r="990" spans="1:36">
      <c r="A990" s="1" t="str">
        <f>"Z183CDCD97"</f>
        <v>Z183CDCD97</v>
      </c>
      <c r="B990" s="1" t="str">
        <f t="shared" si="18"/>
        <v>02406911202</v>
      </c>
      <c r="C990" s="1" t="s">
        <v>13</v>
      </c>
      <c r="D990" s="1" t="s">
        <v>37</v>
      </c>
      <c r="E990" s="1" t="s">
        <v>1166</v>
      </c>
      <c r="F990" s="1" t="s">
        <v>132</v>
      </c>
      <c r="G990" s="1" t="str">
        <f>"MLLMHL68T17A944G"</f>
        <v>MLLMHL68T17A944G</v>
      </c>
      <c r="I990" s="1" t="s">
        <v>1167</v>
      </c>
      <c r="L990" s="1" t="s">
        <v>100</v>
      </c>
      <c r="AJ990" s="2">
        <v>45197</v>
      </c>
    </row>
    <row r="991" spans="1:36">
      <c r="A991" s="1" t="str">
        <f>"Z183CDCD97"</f>
        <v>Z183CDCD97</v>
      </c>
      <c r="B991" s="1" t="str">
        <f t="shared" si="18"/>
        <v>02406911202</v>
      </c>
      <c r="C991" s="1" t="s">
        <v>13</v>
      </c>
      <c r="D991" s="1" t="s">
        <v>37</v>
      </c>
      <c r="E991" s="1" t="s">
        <v>1166</v>
      </c>
      <c r="F991" s="1" t="s">
        <v>132</v>
      </c>
      <c r="G991" s="1" t="str">
        <f>"02406911202"</f>
        <v>02406911202</v>
      </c>
      <c r="I991" s="1" t="s">
        <v>1168</v>
      </c>
      <c r="L991" s="1" t="s">
        <v>43</v>
      </c>
      <c r="M991" s="1">
        <v>8500</v>
      </c>
      <c r="AG991" s="1">
        <v>0</v>
      </c>
      <c r="AH991" s="2">
        <v>45228</v>
      </c>
      <c r="AI991" s="2">
        <v>45946</v>
      </c>
      <c r="AJ991" s="2">
        <v>45197</v>
      </c>
    </row>
    <row r="992" spans="1:36">
      <c r="A992" s="1" t="str">
        <f>"ZB73CC82E3"</f>
        <v>ZB73CC82E3</v>
      </c>
      <c r="B992" s="1" t="str">
        <f t="shared" si="18"/>
        <v>02406911202</v>
      </c>
      <c r="C992" s="1" t="s">
        <v>13</v>
      </c>
      <c r="D992" s="1" t="s">
        <v>37</v>
      </c>
      <c r="E992" s="1" t="s">
        <v>1169</v>
      </c>
      <c r="F992" s="1" t="s">
        <v>158</v>
      </c>
      <c r="G992" s="1" t="str">
        <f>"13209130155"</f>
        <v>13209130155</v>
      </c>
      <c r="I992" s="1" t="s">
        <v>293</v>
      </c>
      <c r="L992" s="1" t="s">
        <v>43</v>
      </c>
      <c r="M992" s="1">
        <v>6077.35</v>
      </c>
      <c r="AG992" s="1">
        <v>0</v>
      </c>
      <c r="AH992" s="2">
        <v>45170</v>
      </c>
      <c r="AI992" s="2">
        <v>45535</v>
      </c>
      <c r="AJ992" s="2">
        <v>45210</v>
      </c>
    </row>
    <row r="993" spans="1:36">
      <c r="A993" s="1" t="str">
        <f t="shared" ref="A993:A998" si="20">"Z573C60F65"</f>
        <v>Z573C60F65</v>
      </c>
      <c r="B993" s="1" t="str">
        <f t="shared" si="18"/>
        <v>02406911202</v>
      </c>
      <c r="C993" s="1" t="s">
        <v>13</v>
      </c>
      <c r="D993" s="1" t="s">
        <v>37</v>
      </c>
      <c r="E993" s="1" t="s">
        <v>1170</v>
      </c>
      <c r="F993" s="1" t="s">
        <v>132</v>
      </c>
      <c r="G993" s="1" t="str">
        <f>"02488210408"</f>
        <v>02488210408</v>
      </c>
      <c r="I993" s="1" t="s">
        <v>1171</v>
      </c>
      <c r="L993" s="1" t="s">
        <v>43</v>
      </c>
      <c r="M993" s="1">
        <v>9900</v>
      </c>
      <c r="AG993" s="1">
        <v>0</v>
      </c>
      <c r="AH993" s="2">
        <v>45267</v>
      </c>
      <c r="AI993" s="2">
        <v>46363</v>
      </c>
      <c r="AJ993" s="2">
        <v>45189</v>
      </c>
    </row>
    <row r="994" spans="1:36">
      <c r="A994" s="1" t="str">
        <f t="shared" si="20"/>
        <v>Z573C60F65</v>
      </c>
      <c r="B994" s="1" t="str">
        <f t="shared" si="18"/>
        <v>02406911202</v>
      </c>
      <c r="C994" s="1" t="s">
        <v>13</v>
      </c>
      <c r="D994" s="1" t="s">
        <v>37</v>
      </c>
      <c r="E994" s="1" t="s">
        <v>1170</v>
      </c>
      <c r="F994" s="1" t="s">
        <v>132</v>
      </c>
      <c r="G994" s="1" t="str">
        <f>"04174950370"</f>
        <v>04174950370</v>
      </c>
      <c r="I994" s="1" t="s">
        <v>1172</v>
      </c>
      <c r="L994" s="1" t="s">
        <v>100</v>
      </c>
      <c r="AJ994" s="2">
        <v>45189</v>
      </c>
    </row>
    <row r="995" spans="1:36">
      <c r="A995" s="1" t="str">
        <f t="shared" si="20"/>
        <v>Z573C60F65</v>
      </c>
      <c r="B995" s="1" t="str">
        <f t="shared" si="18"/>
        <v>02406911202</v>
      </c>
      <c r="C995" s="1" t="s">
        <v>13</v>
      </c>
      <c r="D995" s="1" t="s">
        <v>37</v>
      </c>
      <c r="E995" s="1" t="s">
        <v>1170</v>
      </c>
      <c r="F995" s="1" t="s">
        <v>132</v>
      </c>
      <c r="G995" s="1" t="str">
        <f>"00807770383"</f>
        <v>00807770383</v>
      </c>
      <c r="I995" s="1" t="s">
        <v>1173</v>
      </c>
      <c r="L995" s="1" t="s">
        <v>100</v>
      </c>
      <c r="AJ995" s="2">
        <v>45189</v>
      </c>
    </row>
    <row r="996" spans="1:36">
      <c r="A996" s="1" t="str">
        <f t="shared" si="20"/>
        <v>Z573C60F65</v>
      </c>
      <c r="B996" s="1" t="str">
        <f t="shared" si="18"/>
        <v>02406911202</v>
      </c>
      <c r="C996" s="1" t="s">
        <v>13</v>
      </c>
      <c r="D996" s="1" t="s">
        <v>37</v>
      </c>
      <c r="E996" s="1" t="s">
        <v>1170</v>
      </c>
      <c r="F996" s="1" t="s">
        <v>132</v>
      </c>
      <c r="G996" s="1" t="str">
        <f>"02089690404"</f>
        <v>02089690404</v>
      </c>
      <c r="I996" s="1" t="s">
        <v>1174</v>
      </c>
      <c r="L996" s="1" t="s">
        <v>100</v>
      </c>
      <c r="AJ996" s="2">
        <v>45189</v>
      </c>
    </row>
    <row r="997" spans="1:36">
      <c r="A997" s="1" t="str">
        <f t="shared" si="20"/>
        <v>Z573C60F65</v>
      </c>
      <c r="B997" s="1" t="str">
        <f t="shared" si="18"/>
        <v>02406911202</v>
      </c>
      <c r="C997" s="1" t="s">
        <v>13</v>
      </c>
      <c r="D997" s="1" t="s">
        <v>37</v>
      </c>
      <c r="E997" s="1" t="s">
        <v>1170</v>
      </c>
      <c r="F997" s="1" t="s">
        <v>132</v>
      </c>
      <c r="G997" s="1" t="str">
        <f>"MRRLCU82R20I462J"</f>
        <v>MRRLCU82R20I462J</v>
      </c>
      <c r="I997" s="1" t="s">
        <v>1175</v>
      </c>
      <c r="L997" s="1" t="s">
        <v>100</v>
      </c>
      <c r="AJ997" s="2">
        <v>45189</v>
      </c>
    </row>
    <row r="998" spans="1:36">
      <c r="A998" s="1" t="str">
        <f t="shared" si="20"/>
        <v>Z573C60F65</v>
      </c>
      <c r="B998" s="1" t="str">
        <f t="shared" si="18"/>
        <v>02406911202</v>
      </c>
      <c r="C998" s="1" t="s">
        <v>13</v>
      </c>
      <c r="D998" s="1" t="s">
        <v>37</v>
      </c>
      <c r="E998" s="1" t="s">
        <v>1170</v>
      </c>
      <c r="F998" s="1" t="s">
        <v>132</v>
      </c>
      <c r="G998" s="1" t="str">
        <f>"02576330365"</f>
        <v>02576330365</v>
      </c>
      <c r="I998" s="1" t="s">
        <v>1176</v>
      </c>
      <c r="L998" s="1" t="s">
        <v>100</v>
      </c>
      <c r="AJ998" s="2">
        <v>45189</v>
      </c>
    </row>
    <row r="999" spans="1:36">
      <c r="A999" s="1" t="str">
        <f>"ZC53C99D81"</f>
        <v>ZC53C99D81</v>
      </c>
      <c r="B999" s="1" t="str">
        <f t="shared" si="18"/>
        <v>02406911202</v>
      </c>
      <c r="C999" s="1" t="s">
        <v>13</v>
      </c>
      <c r="D999" s="1" t="s">
        <v>37</v>
      </c>
      <c r="E999" s="1" t="s">
        <v>1177</v>
      </c>
      <c r="F999" s="1" t="s">
        <v>39</v>
      </c>
      <c r="G999" s="1" t="str">
        <f>"SLMGTN72C14G479V"</f>
        <v>SLMGTN72C14G479V</v>
      </c>
      <c r="I999" s="1" t="s">
        <v>1178</v>
      </c>
      <c r="L999" s="1" t="s">
        <v>43</v>
      </c>
      <c r="M999" s="1">
        <v>14273.63</v>
      </c>
      <c r="AG999" s="1">
        <v>0</v>
      </c>
      <c r="AH999" s="2">
        <v>45216</v>
      </c>
      <c r="AI999" s="2">
        <v>45446</v>
      </c>
      <c r="AJ999" s="2">
        <v>45195</v>
      </c>
    </row>
    <row r="1000" spans="1:36">
      <c r="A1000" s="1" t="str">
        <f>"ZC53C99D81"</f>
        <v>ZC53C99D81</v>
      </c>
      <c r="B1000" s="1" t="str">
        <f t="shared" si="18"/>
        <v>02406911202</v>
      </c>
      <c r="C1000" s="1" t="s">
        <v>13</v>
      </c>
      <c r="D1000" s="1" t="s">
        <v>37</v>
      </c>
      <c r="E1000" s="1" t="s">
        <v>1177</v>
      </c>
      <c r="F1000" s="1" t="s">
        <v>39</v>
      </c>
      <c r="G1000" s="1" t="str">
        <f>"03789681206"</f>
        <v>03789681206</v>
      </c>
      <c r="I1000" s="1" t="s">
        <v>1179</v>
      </c>
      <c r="L1000" s="1" t="s">
        <v>100</v>
      </c>
      <c r="AJ1000" s="2">
        <v>45195</v>
      </c>
    </row>
    <row r="1001" spans="1:36">
      <c r="A1001" s="1" t="str">
        <f>"A017B20DF4"</f>
        <v>A017B20DF4</v>
      </c>
      <c r="B1001" s="1" t="str">
        <f t="shared" si="18"/>
        <v>02406911202</v>
      </c>
      <c r="C1001" s="1" t="s">
        <v>13</v>
      </c>
      <c r="D1001" s="1" t="s">
        <v>37</v>
      </c>
      <c r="E1001" s="1" t="s">
        <v>1180</v>
      </c>
      <c r="F1001" s="1" t="s">
        <v>158</v>
      </c>
      <c r="G1001" s="1" t="str">
        <f>"11459900962"</f>
        <v>11459900962</v>
      </c>
      <c r="I1001" s="1" t="s">
        <v>1181</v>
      </c>
      <c r="L1001" s="1" t="s">
        <v>43</v>
      </c>
      <c r="M1001" s="1">
        <v>2027.24</v>
      </c>
      <c r="AG1001" s="1">
        <v>0</v>
      </c>
      <c r="AH1001" s="2">
        <v>45217</v>
      </c>
      <c r="AI1001" s="2">
        <v>45247</v>
      </c>
      <c r="AJ1001" s="2">
        <v>45217</v>
      </c>
    </row>
    <row r="1002" spans="1:36">
      <c r="A1002" s="1" t="str">
        <f>"A01F978115"</f>
        <v>A01F978115</v>
      </c>
      <c r="B1002" s="1" t="str">
        <f t="shared" si="18"/>
        <v>02406911202</v>
      </c>
      <c r="C1002" s="1" t="s">
        <v>13</v>
      </c>
      <c r="D1002" s="1" t="s">
        <v>37</v>
      </c>
      <c r="E1002" s="1" t="s">
        <v>1182</v>
      </c>
      <c r="F1002" s="1" t="s">
        <v>158</v>
      </c>
      <c r="G1002" s="1" t="str">
        <f>"02770891204"</f>
        <v>02770891204</v>
      </c>
      <c r="I1002" s="1" t="s">
        <v>886</v>
      </c>
      <c r="L1002" s="1" t="s">
        <v>43</v>
      </c>
      <c r="M1002" s="1">
        <v>1495.53</v>
      </c>
      <c r="AG1002" s="1">
        <v>0</v>
      </c>
      <c r="AH1002" s="2">
        <v>45218</v>
      </c>
      <c r="AI1002" s="2">
        <v>45310</v>
      </c>
      <c r="AJ1002" s="2">
        <v>45218</v>
      </c>
    </row>
    <row r="1003" spans="1:36">
      <c r="A1003" s="1" t="str">
        <f>"Z573CFB146"</f>
        <v>Z573CFB146</v>
      </c>
      <c r="B1003" s="1" t="str">
        <f t="shared" si="18"/>
        <v>02406911202</v>
      </c>
      <c r="C1003" s="1" t="s">
        <v>13</v>
      </c>
      <c r="D1003" s="1" t="s">
        <v>37</v>
      </c>
      <c r="E1003" s="1" t="s">
        <v>1183</v>
      </c>
      <c r="F1003" s="1" t="s">
        <v>158</v>
      </c>
      <c r="G1003" s="1" t="str">
        <f>"08427870012"</f>
        <v>08427870012</v>
      </c>
      <c r="I1003" s="1" t="s">
        <v>1184</v>
      </c>
      <c r="L1003" s="1" t="s">
        <v>43</v>
      </c>
      <c r="M1003" s="1">
        <v>1116</v>
      </c>
      <c r="AG1003" s="1">
        <v>0</v>
      </c>
      <c r="AH1003" s="2">
        <v>45223</v>
      </c>
      <c r="AI1003" s="2">
        <v>45291</v>
      </c>
      <c r="AJ1003" s="2">
        <v>45223</v>
      </c>
    </row>
    <row r="1004" spans="1:36">
      <c r="A1004" s="1" t="str">
        <f>"Z8A3D16B7C"</f>
        <v>Z8A3D16B7C</v>
      </c>
      <c r="B1004" s="1" t="str">
        <f t="shared" si="18"/>
        <v>02406911202</v>
      </c>
      <c r="C1004" s="1" t="s">
        <v>13</v>
      </c>
      <c r="D1004" s="1" t="s">
        <v>37</v>
      </c>
      <c r="E1004" s="1" t="s">
        <v>1185</v>
      </c>
      <c r="F1004" s="1" t="s">
        <v>158</v>
      </c>
      <c r="G1004" s="1" t="str">
        <f>"00842990152"</f>
        <v>00842990152</v>
      </c>
      <c r="I1004" s="1" t="s">
        <v>1186</v>
      </c>
      <c r="L1004" s="1" t="s">
        <v>43</v>
      </c>
      <c r="M1004" s="1">
        <v>896</v>
      </c>
      <c r="AG1004" s="1">
        <v>0</v>
      </c>
      <c r="AH1004" s="2">
        <v>45230</v>
      </c>
      <c r="AI1004" s="2">
        <v>45275</v>
      </c>
      <c r="AJ1004" s="2">
        <v>45230</v>
      </c>
    </row>
    <row r="1005" spans="1:36">
      <c r="A1005" s="1" t="str">
        <f>"ZEF3D511A4"</f>
        <v>ZEF3D511A4</v>
      </c>
      <c r="B1005" s="1" t="str">
        <f t="shared" si="18"/>
        <v>02406911202</v>
      </c>
      <c r="C1005" s="1" t="s">
        <v>13</v>
      </c>
      <c r="D1005" s="1" t="s">
        <v>37</v>
      </c>
      <c r="E1005" s="1" t="s">
        <v>1187</v>
      </c>
      <c r="F1005" s="1" t="s">
        <v>158</v>
      </c>
      <c r="G1005" s="1" t="str">
        <f>"11127100151"</f>
        <v>11127100151</v>
      </c>
      <c r="I1005" s="1" t="s">
        <v>1188</v>
      </c>
      <c r="L1005" s="1" t="s">
        <v>43</v>
      </c>
      <c r="M1005" s="1">
        <v>1153</v>
      </c>
      <c r="AG1005" s="1">
        <v>0</v>
      </c>
      <c r="AH1005" s="2">
        <v>45246</v>
      </c>
      <c r="AI1005" s="2">
        <v>45260</v>
      </c>
      <c r="AJ1005" s="2">
        <v>45246</v>
      </c>
    </row>
    <row r="1006" spans="1:36">
      <c r="A1006" s="1" t="str">
        <f>"Z073D514CD"</f>
        <v>Z073D514CD</v>
      </c>
      <c r="B1006" s="1" t="str">
        <f t="shared" si="18"/>
        <v>02406911202</v>
      </c>
      <c r="C1006" s="1" t="s">
        <v>13</v>
      </c>
      <c r="D1006" s="1" t="s">
        <v>37</v>
      </c>
      <c r="E1006" s="1" t="s">
        <v>1189</v>
      </c>
      <c r="F1006" s="1" t="s">
        <v>158</v>
      </c>
      <c r="G1006" s="1" t="str">
        <f>"01383340385"</f>
        <v>01383340385</v>
      </c>
      <c r="I1006" s="1" t="s">
        <v>159</v>
      </c>
      <c r="L1006" s="1" t="s">
        <v>43</v>
      </c>
      <c r="M1006" s="1">
        <v>2331</v>
      </c>
      <c r="AG1006" s="1">
        <v>0</v>
      </c>
      <c r="AH1006" s="2">
        <v>45247</v>
      </c>
      <c r="AI1006" s="2">
        <v>45260</v>
      </c>
      <c r="AJ1006" s="2">
        <v>45246</v>
      </c>
    </row>
    <row r="1007" spans="1:36">
      <c r="A1007" s="1" t="str">
        <f>"Z0A3D6AB86"</f>
        <v>Z0A3D6AB86</v>
      </c>
      <c r="B1007" s="1" t="str">
        <f t="shared" si="18"/>
        <v>02406911202</v>
      </c>
      <c r="C1007" s="1" t="s">
        <v>13</v>
      </c>
      <c r="D1007" s="1" t="s">
        <v>37</v>
      </c>
      <c r="E1007" s="1" t="s">
        <v>1190</v>
      </c>
      <c r="F1007" s="1" t="s">
        <v>158</v>
      </c>
      <c r="G1007" s="1" t="str">
        <f>"03487840104"</f>
        <v>03487840104</v>
      </c>
      <c r="I1007" s="1" t="s">
        <v>1191</v>
      </c>
      <c r="L1007" s="1" t="s">
        <v>43</v>
      </c>
      <c r="M1007" s="1">
        <v>1200</v>
      </c>
      <c r="AG1007" s="1">
        <v>0</v>
      </c>
      <c r="AH1007" s="2">
        <v>45253</v>
      </c>
      <c r="AI1007" s="2">
        <v>45283</v>
      </c>
      <c r="AJ1007" s="2">
        <v>45253</v>
      </c>
    </row>
    <row r="1008" spans="1:36">
      <c r="A1008" s="1" t="str">
        <f>"Z483D61B70"</f>
        <v>Z483D61B70</v>
      </c>
      <c r="B1008" s="1" t="str">
        <f t="shared" si="18"/>
        <v>02406911202</v>
      </c>
      <c r="C1008" s="1" t="s">
        <v>13</v>
      </c>
      <c r="D1008" s="1" t="s">
        <v>37</v>
      </c>
      <c r="E1008" s="1" t="s">
        <v>1192</v>
      </c>
      <c r="F1008" s="1" t="s">
        <v>158</v>
      </c>
      <c r="G1008" s="1" t="str">
        <f>"02376191207"</f>
        <v>02376191207</v>
      </c>
      <c r="I1008" s="1" t="s">
        <v>1193</v>
      </c>
      <c r="L1008" s="1" t="s">
        <v>43</v>
      </c>
      <c r="M1008" s="1">
        <v>475</v>
      </c>
      <c r="AG1008" s="1">
        <v>0</v>
      </c>
      <c r="AH1008" s="2">
        <v>45252</v>
      </c>
      <c r="AI1008" s="2">
        <v>45618</v>
      </c>
      <c r="AJ1008" s="2">
        <v>45252</v>
      </c>
    </row>
    <row r="1009" spans="1:36">
      <c r="A1009" s="1" t="str">
        <f>"A02E774527"</f>
        <v>A02E774527</v>
      </c>
      <c r="B1009" s="1" t="str">
        <f t="shared" si="18"/>
        <v>02406911202</v>
      </c>
      <c r="C1009" s="1" t="s">
        <v>13</v>
      </c>
      <c r="D1009" s="1" t="s">
        <v>37</v>
      </c>
      <c r="E1009" s="1" t="s">
        <v>1194</v>
      </c>
      <c r="F1009" s="1" t="s">
        <v>151</v>
      </c>
      <c r="G1009" s="1" t="str">
        <f>"00140990409"</f>
        <v>00140990409</v>
      </c>
      <c r="I1009" s="1" t="s">
        <v>1195</v>
      </c>
      <c r="L1009" s="1" t="s">
        <v>43</v>
      </c>
      <c r="M1009" s="1">
        <v>15729.32</v>
      </c>
      <c r="AG1009" s="1">
        <v>0</v>
      </c>
      <c r="AH1009" s="2">
        <v>45275</v>
      </c>
      <c r="AI1009" s="2">
        <v>45296</v>
      </c>
      <c r="AJ1009" s="2">
        <v>45253</v>
      </c>
    </row>
    <row r="1010" spans="1:36">
      <c r="A1010" s="1" t="str">
        <f>"A02577C69E"</f>
        <v>A02577C69E</v>
      </c>
      <c r="B1010" s="1" t="str">
        <f t="shared" si="18"/>
        <v>02406911202</v>
      </c>
      <c r="C1010" s="1" t="s">
        <v>13</v>
      </c>
      <c r="D1010" s="1" t="s">
        <v>37</v>
      </c>
      <c r="E1010" s="1" t="s">
        <v>1196</v>
      </c>
      <c r="F1010" s="1" t="s">
        <v>151</v>
      </c>
      <c r="G1010" s="1" t="str">
        <f>"00140990409"</f>
        <v>00140990409</v>
      </c>
      <c r="I1010" s="1" t="s">
        <v>1195</v>
      </c>
      <c r="L1010" s="1" t="s">
        <v>43</v>
      </c>
      <c r="M1010" s="1">
        <v>20974.38</v>
      </c>
      <c r="AG1010" s="1">
        <v>0</v>
      </c>
      <c r="AH1010" s="2">
        <v>45240</v>
      </c>
      <c r="AI1010" s="2">
        <v>45261</v>
      </c>
      <c r="AJ1010" s="2">
        <v>45240</v>
      </c>
    </row>
    <row r="1011" spans="1:36">
      <c r="A1011" s="1" t="str">
        <f>"A017A7F919"</f>
        <v>A017A7F919</v>
      </c>
      <c r="B1011" s="1" t="str">
        <f t="shared" si="18"/>
        <v>02406911202</v>
      </c>
      <c r="C1011" s="1" t="s">
        <v>13</v>
      </c>
      <c r="D1011" s="1" t="s">
        <v>37</v>
      </c>
      <c r="E1011" s="1" t="s">
        <v>1197</v>
      </c>
      <c r="F1011" s="1" t="s">
        <v>151</v>
      </c>
      <c r="G1011" s="1" t="str">
        <f>"00140990409"</f>
        <v>00140990409</v>
      </c>
      <c r="I1011" s="1" t="s">
        <v>1195</v>
      </c>
      <c r="L1011" s="1" t="s">
        <v>43</v>
      </c>
      <c r="M1011" s="1">
        <v>14636.73</v>
      </c>
      <c r="AG1011" s="1">
        <v>0</v>
      </c>
      <c r="AH1011" s="2">
        <v>45217</v>
      </c>
      <c r="AI1011" s="2">
        <v>45231</v>
      </c>
      <c r="AJ1011" s="2">
        <v>45210</v>
      </c>
    </row>
    <row r="1012" spans="1:36">
      <c r="A1012" s="1" t="str">
        <f t="shared" ref="A1012:A1020" si="21">"A00FC40A9D"</f>
        <v>A00FC40A9D</v>
      </c>
      <c r="B1012" s="1" t="str">
        <f t="shared" si="18"/>
        <v>02406911202</v>
      </c>
      <c r="C1012" s="1" t="s">
        <v>13</v>
      </c>
      <c r="D1012" s="1" t="s">
        <v>37</v>
      </c>
      <c r="E1012" s="1" t="s">
        <v>1198</v>
      </c>
      <c r="F1012" s="1" t="s">
        <v>151</v>
      </c>
      <c r="G1012" s="1" t="str">
        <f>"01884990381"</f>
        <v>01884990381</v>
      </c>
      <c r="I1012" s="1" t="s">
        <v>1143</v>
      </c>
      <c r="J1012" s="1" t="s">
        <v>1144</v>
      </c>
      <c r="K1012" s="1" t="s">
        <v>141</v>
      </c>
      <c r="AJ1012" s="2">
        <v>45273</v>
      </c>
    </row>
    <row r="1013" spans="1:36">
      <c r="A1013" s="1" t="str">
        <f t="shared" si="21"/>
        <v>A00FC40A9D</v>
      </c>
      <c r="B1013" s="1" t="str">
        <f t="shared" si="18"/>
        <v>02406911202</v>
      </c>
      <c r="C1013" s="1" t="s">
        <v>13</v>
      </c>
      <c r="D1013" s="1" t="s">
        <v>37</v>
      </c>
      <c r="E1013" s="1" t="s">
        <v>1198</v>
      </c>
      <c r="F1013" s="1" t="s">
        <v>151</v>
      </c>
      <c r="G1013" s="1" t="str">
        <f>"03650151206"</f>
        <v>03650151206</v>
      </c>
      <c r="I1013" s="1" t="s">
        <v>1145</v>
      </c>
      <c r="J1013" s="1" t="s">
        <v>1144</v>
      </c>
      <c r="K1013" s="1" t="s">
        <v>141</v>
      </c>
      <c r="AJ1013" s="2">
        <v>45273</v>
      </c>
    </row>
    <row r="1014" spans="1:36">
      <c r="A1014" s="1" t="str">
        <f t="shared" si="21"/>
        <v>A00FC40A9D</v>
      </c>
      <c r="B1014" s="1" t="str">
        <f t="shared" si="18"/>
        <v>02406911202</v>
      </c>
      <c r="C1014" s="1" t="s">
        <v>13</v>
      </c>
      <c r="D1014" s="1" t="s">
        <v>37</v>
      </c>
      <c r="E1014" s="1" t="s">
        <v>1198</v>
      </c>
      <c r="F1014" s="1" t="s">
        <v>151</v>
      </c>
      <c r="G1014" s="1" t="str">
        <f>"BLLRRT60L10A191L"</f>
        <v>BLLRRT60L10A191L</v>
      </c>
      <c r="I1014" s="1" t="s">
        <v>1146</v>
      </c>
      <c r="J1014" s="1" t="s">
        <v>1144</v>
      </c>
      <c r="K1014" s="1" t="s">
        <v>139</v>
      </c>
      <c r="AJ1014" s="2">
        <v>45273</v>
      </c>
    </row>
    <row r="1015" spans="1:36">
      <c r="A1015" s="1" t="str">
        <f t="shared" si="21"/>
        <v>A00FC40A9D</v>
      </c>
      <c r="B1015" s="1" t="str">
        <f t="shared" si="18"/>
        <v>02406911202</v>
      </c>
      <c r="C1015" s="1" t="s">
        <v>13</v>
      </c>
      <c r="D1015" s="1" t="s">
        <v>37</v>
      </c>
      <c r="E1015" s="1" t="s">
        <v>1198</v>
      </c>
      <c r="F1015" s="1" t="s">
        <v>151</v>
      </c>
      <c r="G1015" s="1" t="str">
        <f>"SNGLCA83R51C265N"</f>
        <v>SNGLCA83R51C265N</v>
      </c>
      <c r="I1015" s="1" t="s">
        <v>1147</v>
      </c>
      <c r="J1015" s="1" t="s">
        <v>1144</v>
      </c>
      <c r="K1015" s="1" t="s">
        <v>141</v>
      </c>
      <c r="AJ1015" s="2">
        <v>45273</v>
      </c>
    </row>
    <row r="1016" spans="1:36">
      <c r="A1016" s="1" t="str">
        <f t="shared" si="21"/>
        <v>A00FC40A9D</v>
      </c>
      <c r="B1016" s="1" t="str">
        <f t="shared" si="18"/>
        <v>02406911202</v>
      </c>
      <c r="C1016" s="1" t="s">
        <v>13</v>
      </c>
      <c r="D1016" s="1" t="s">
        <v>37</v>
      </c>
      <c r="E1016" s="1" t="s">
        <v>1198</v>
      </c>
      <c r="F1016" s="1" t="s">
        <v>151</v>
      </c>
      <c r="G1016" s="1" t="str">
        <f>"03856010370"</f>
        <v>03856010370</v>
      </c>
      <c r="I1016" s="1" t="s">
        <v>1148</v>
      </c>
      <c r="J1016" s="1" t="s">
        <v>1144</v>
      </c>
      <c r="K1016" s="1" t="s">
        <v>141</v>
      </c>
      <c r="AJ1016" s="2">
        <v>45273</v>
      </c>
    </row>
    <row r="1017" spans="1:36">
      <c r="A1017" s="1" t="str">
        <f t="shared" si="21"/>
        <v>A00FC40A9D</v>
      </c>
      <c r="B1017" s="1" t="str">
        <f t="shared" si="18"/>
        <v>02406911202</v>
      </c>
      <c r="C1017" s="1" t="s">
        <v>13</v>
      </c>
      <c r="D1017" s="1" t="s">
        <v>37</v>
      </c>
      <c r="E1017" s="1" t="s">
        <v>1198</v>
      </c>
      <c r="F1017" s="1" t="s">
        <v>151</v>
      </c>
      <c r="G1017" s="1" t="str">
        <f>"02530590401"</f>
        <v>02530590401</v>
      </c>
      <c r="I1017" s="1" t="s">
        <v>1149</v>
      </c>
      <c r="J1017" s="1" t="s">
        <v>1144</v>
      </c>
      <c r="K1017" s="1" t="s">
        <v>141</v>
      </c>
      <c r="AJ1017" s="2">
        <v>45273</v>
      </c>
    </row>
    <row r="1018" spans="1:36">
      <c r="A1018" s="1" t="str">
        <f t="shared" si="21"/>
        <v>A00FC40A9D</v>
      </c>
      <c r="B1018" s="1" t="str">
        <f t="shared" si="18"/>
        <v>02406911202</v>
      </c>
      <c r="C1018" s="1" t="s">
        <v>13</v>
      </c>
      <c r="D1018" s="1" t="s">
        <v>37</v>
      </c>
      <c r="E1018" s="1" t="s">
        <v>1198</v>
      </c>
      <c r="F1018" s="1" t="s">
        <v>151</v>
      </c>
      <c r="G1018" s="1" t="str">
        <f>"CSDLNE79P59D458A"</f>
        <v>CSDLNE79P59D458A</v>
      </c>
      <c r="I1018" s="1" t="s">
        <v>1150</v>
      </c>
      <c r="J1018" s="1" t="s">
        <v>1144</v>
      </c>
      <c r="K1018" s="1" t="s">
        <v>141</v>
      </c>
      <c r="AJ1018" s="2">
        <v>45273</v>
      </c>
    </row>
    <row r="1019" spans="1:36">
      <c r="A1019" s="1" t="str">
        <f t="shared" si="21"/>
        <v>A00FC40A9D</v>
      </c>
      <c r="B1019" s="1" t="str">
        <f t="shared" si="18"/>
        <v>02406911202</v>
      </c>
      <c r="C1019" s="1" t="s">
        <v>13</v>
      </c>
      <c r="D1019" s="1" t="s">
        <v>37</v>
      </c>
      <c r="E1019" s="1" t="s">
        <v>1198</v>
      </c>
      <c r="F1019" s="1" t="s">
        <v>151</v>
      </c>
      <c r="G1019" s="1" t="str">
        <f>"PLRNDR79D07G916W"</f>
        <v>PLRNDR79D07G916W</v>
      </c>
      <c r="I1019" s="1" t="s">
        <v>1151</v>
      </c>
      <c r="J1019" s="1" t="s">
        <v>1144</v>
      </c>
      <c r="K1019" s="1" t="s">
        <v>141</v>
      </c>
      <c r="AJ1019" s="2">
        <v>45273</v>
      </c>
    </row>
    <row r="1020" spans="1:36">
      <c r="A1020" s="1" t="str">
        <f t="shared" si="21"/>
        <v>A00FC40A9D</v>
      </c>
      <c r="B1020" s="1" t="str">
        <f t="shared" si="18"/>
        <v>02406911202</v>
      </c>
      <c r="C1020" s="1" t="s">
        <v>13</v>
      </c>
      <c r="D1020" s="1" t="s">
        <v>37</v>
      </c>
      <c r="E1020" s="1" t="s">
        <v>1198</v>
      </c>
      <c r="F1020" s="1" t="s">
        <v>151</v>
      </c>
      <c r="I1020" s="1" t="s">
        <v>1144</v>
      </c>
      <c r="L1020" s="1" t="s">
        <v>43</v>
      </c>
      <c r="M1020" s="1">
        <v>13498.92</v>
      </c>
      <c r="AG1020" s="1">
        <v>0</v>
      </c>
      <c r="AH1020" s="2">
        <v>45273</v>
      </c>
      <c r="AI1020" s="2">
        <v>45306</v>
      </c>
      <c r="AJ1020" s="2">
        <v>45273</v>
      </c>
    </row>
    <row r="1021" spans="1:36">
      <c r="A1021" s="1" t="str">
        <f>"Z043DD1A13"</f>
        <v>Z043DD1A13</v>
      </c>
      <c r="B1021" s="1" t="str">
        <f t="shared" si="18"/>
        <v>02406911202</v>
      </c>
      <c r="C1021" s="1" t="s">
        <v>13</v>
      </c>
      <c r="D1021" s="1" t="s">
        <v>37</v>
      </c>
      <c r="E1021" s="1" t="s">
        <v>1199</v>
      </c>
      <c r="F1021" s="1" t="s">
        <v>158</v>
      </c>
      <c r="G1021" s="1" t="str">
        <f>"00509110011"</f>
        <v>00509110011</v>
      </c>
      <c r="I1021" s="1" t="s">
        <v>1200</v>
      </c>
      <c r="L1021" s="1" t="s">
        <v>43</v>
      </c>
      <c r="M1021" s="1">
        <v>5000</v>
      </c>
      <c r="AG1021" s="1">
        <v>0</v>
      </c>
      <c r="AH1021" s="2">
        <v>45278</v>
      </c>
      <c r="AI1021" s="2">
        <v>45323</v>
      </c>
      <c r="AJ1021" s="2">
        <v>45279</v>
      </c>
    </row>
    <row r="1022" spans="1:36">
      <c r="A1022" s="1" t="str">
        <f>"ZD13DD8F19"</f>
        <v>ZD13DD8F19</v>
      </c>
      <c r="B1022" s="1" t="str">
        <f t="shared" si="18"/>
        <v>02406911202</v>
      </c>
      <c r="C1022" s="1" t="s">
        <v>13</v>
      </c>
      <c r="D1022" s="1" t="s">
        <v>37</v>
      </c>
      <c r="E1022" s="1" t="s">
        <v>1201</v>
      </c>
      <c r="F1022" s="1" t="s">
        <v>158</v>
      </c>
      <c r="G1022" s="1" t="str">
        <f>"03407121205"</f>
        <v>03407121205</v>
      </c>
      <c r="I1022" s="1" t="s">
        <v>1202</v>
      </c>
      <c r="L1022" s="1" t="s">
        <v>43</v>
      </c>
      <c r="M1022" s="1">
        <v>0</v>
      </c>
      <c r="AG1022" s="1">
        <v>0</v>
      </c>
      <c r="AH1022" s="2">
        <v>45279</v>
      </c>
      <c r="AI1022" s="2">
        <v>45287</v>
      </c>
      <c r="AJ1022" s="2">
        <v>45279</v>
      </c>
    </row>
    <row r="1023" spans="1:36">
      <c r="A1023" s="1" t="str">
        <f>"Z953DDC585"</f>
        <v>Z953DDC585</v>
      </c>
      <c r="B1023" s="1" t="str">
        <f t="shared" si="18"/>
        <v>02406911202</v>
      </c>
      <c r="C1023" s="1" t="s">
        <v>13</v>
      </c>
      <c r="D1023" s="1" t="s">
        <v>37</v>
      </c>
      <c r="E1023" s="1" t="s">
        <v>1203</v>
      </c>
      <c r="F1023" s="1" t="s">
        <v>158</v>
      </c>
      <c r="G1023" s="1" t="str">
        <f>"10781070015"</f>
        <v>10781070015</v>
      </c>
      <c r="I1023" s="1" t="s">
        <v>1204</v>
      </c>
      <c r="L1023" s="1" t="s">
        <v>43</v>
      </c>
      <c r="M1023" s="1">
        <v>1200</v>
      </c>
      <c r="AG1023" s="1">
        <v>0</v>
      </c>
      <c r="AH1023" s="2">
        <v>45287</v>
      </c>
      <c r="AI1023" s="2">
        <v>45298</v>
      </c>
      <c r="AJ1023" s="2">
        <v>45287</v>
      </c>
    </row>
    <row r="1024" spans="1:36">
      <c r="A1024" s="1" t="str">
        <f>"A02C53A685"</f>
        <v>A02C53A685</v>
      </c>
      <c r="B1024" s="1" t="str">
        <f t="shared" si="18"/>
        <v>02406911202</v>
      </c>
      <c r="C1024" s="1" t="s">
        <v>13</v>
      </c>
      <c r="D1024" s="1" t="s">
        <v>37</v>
      </c>
      <c r="E1024" s="1" t="s">
        <v>1205</v>
      </c>
      <c r="F1024" s="1" t="s">
        <v>151</v>
      </c>
      <c r="G1024" s="1" t="str">
        <f>"03214610242"</f>
        <v>03214610242</v>
      </c>
      <c r="I1024" s="1" t="s">
        <v>1206</v>
      </c>
      <c r="J1024" s="1" t="s">
        <v>1207</v>
      </c>
      <c r="K1024" s="1" t="s">
        <v>139</v>
      </c>
      <c r="AJ1024" s="2">
        <v>45246</v>
      </c>
    </row>
    <row r="1025" spans="1:36">
      <c r="A1025" s="1" t="str">
        <f>"A02C53A685"</f>
        <v>A02C53A685</v>
      </c>
      <c r="B1025" s="1" t="str">
        <f t="shared" si="18"/>
        <v>02406911202</v>
      </c>
      <c r="C1025" s="1" t="s">
        <v>13</v>
      </c>
      <c r="D1025" s="1" t="s">
        <v>37</v>
      </c>
      <c r="E1025" s="1" t="s">
        <v>1205</v>
      </c>
      <c r="F1025" s="1" t="s">
        <v>151</v>
      </c>
      <c r="G1025" s="1" t="str">
        <f>"00203980396"</f>
        <v>00203980396</v>
      </c>
      <c r="I1025" s="1" t="s">
        <v>1208</v>
      </c>
      <c r="J1025" s="1" t="s">
        <v>1207</v>
      </c>
      <c r="K1025" s="1" t="s">
        <v>141</v>
      </c>
      <c r="AJ1025" s="2">
        <v>45246</v>
      </c>
    </row>
    <row r="1026" spans="1:36">
      <c r="A1026" s="1" t="str">
        <f>"A02C53A685"</f>
        <v>A02C53A685</v>
      </c>
      <c r="B1026" s="1" t="str">
        <f t="shared" ref="B1026:B1089" si="22">"02406911202"</f>
        <v>02406911202</v>
      </c>
      <c r="C1026" s="1" t="s">
        <v>13</v>
      </c>
      <c r="D1026" s="1" t="s">
        <v>37</v>
      </c>
      <c r="E1026" s="1" t="s">
        <v>1205</v>
      </c>
      <c r="F1026" s="1" t="s">
        <v>151</v>
      </c>
      <c r="G1026" s="1" t="str">
        <f>"02121230391"</f>
        <v>02121230391</v>
      </c>
      <c r="I1026" s="1" t="s">
        <v>1209</v>
      </c>
      <c r="J1026" s="1" t="s">
        <v>1207</v>
      </c>
      <c r="K1026" s="1" t="s">
        <v>141</v>
      </c>
      <c r="AJ1026" s="2">
        <v>45246</v>
      </c>
    </row>
    <row r="1027" spans="1:36">
      <c r="A1027" s="1" t="str">
        <f>"A02C53A685"</f>
        <v>A02C53A685</v>
      </c>
      <c r="B1027" s="1" t="str">
        <f t="shared" si="22"/>
        <v>02406911202</v>
      </c>
      <c r="C1027" s="1" t="s">
        <v>13</v>
      </c>
      <c r="D1027" s="1" t="s">
        <v>37</v>
      </c>
      <c r="E1027" s="1" t="s">
        <v>1205</v>
      </c>
      <c r="F1027" s="1" t="s">
        <v>151</v>
      </c>
      <c r="I1027" s="1" t="s">
        <v>1207</v>
      </c>
      <c r="L1027" s="1" t="s">
        <v>43</v>
      </c>
      <c r="M1027" s="1">
        <v>261400.68</v>
      </c>
      <c r="AG1027" s="1">
        <v>0</v>
      </c>
      <c r="AH1027" s="2">
        <v>45241</v>
      </c>
      <c r="AI1027" s="2">
        <v>45449</v>
      </c>
      <c r="AJ1027" s="2">
        <v>45246</v>
      </c>
    </row>
    <row r="1028" spans="1:36">
      <c r="A1028" s="1" t="str">
        <f>"A00288835E"</f>
        <v>A00288835E</v>
      </c>
      <c r="B1028" s="1" t="str">
        <f t="shared" si="22"/>
        <v>02406911202</v>
      </c>
      <c r="C1028" s="1" t="s">
        <v>13</v>
      </c>
      <c r="D1028" s="1" t="s">
        <v>37</v>
      </c>
      <c r="E1028" s="1" t="s">
        <v>1210</v>
      </c>
      <c r="F1028" s="1" t="s">
        <v>158</v>
      </c>
      <c r="G1028" s="1" t="str">
        <f>"01468160393"</f>
        <v>01468160393</v>
      </c>
      <c r="I1028" s="1" t="s">
        <v>1133</v>
      </c>
      <c r="J1028" s="1" t="s">
        <v>1134</v>
      </c>
      <c r="K1028" s="1" t="s">
        <v>141</v>
      </c>
      <c r="AJ1028" s="2">
        <v>45148</v>
      </c>
    </row>
    <row r="1029" spans="1:36">
      <c r="A1029" s="1" t="str">
        <f>"A00288835E"</f>
        <v>A00288835E</v>
      </c>
      <c r="B1029" s="1" t="str">
        <f t="shared" si="22"/>
        <v>02406911202</v>
      </c>
      <c r="C1029" s="1" t="s">
        <v>13</v>
      </c>
      <c r="D1029" s="1" t="s">
        <v>37</v>
      </c>
      <c r="E1029" s="1" t="s">
        <v>1210</v>
      </c>
      <c r="F1029" s="1" t="s">
        <v>158</v>
      </c>
      <c r="G1029" s="1" t="str">
        <f>"02402671206"</f>
        <v>02402671206</v>
      </c>
      <c r="I1029" s="1" t="s">
        <v>1135</v>
      </c>
      <c r="J1029" s="1" t="s">
        <v>1134</v>
      </c>
      <c r="K1029" s="1" t="s">
        <v>139</v>
      </c>
      <c r="AJ1029" s="2">
        <v>45148</v>
      </c>
    </row>
    <row r="1030" spans="1:36">
      <c r="A1030" s="1" t="str">
        <f>"A00288835E"</f>
        <v>A00288835E</v>
      </c>
      <c r="B1030" s="1" t="str">
        <f t="shared" si="22"/>
        <v>02406911202</v>
      </c>
      <c r="C1030" s="1" t="s">
        <v>13</v>
      </c>
      <c r="D1030" s="1" t="s">
        <v>37</v>
      </c>
      <c r="E1030" s="1" t="s">
        <v>1210</v>
      </c>
      <c r="F1030" s="1" t="s">
        <v>158</v>
      </c>
      <c r="I1030" s="1" t="s">
        <v>1134</v>
      </c>
      <c r="L1030" s="1" t="s">
        <v>43</v>
      </c>
      <c r="M1030" s="1">
        <v>12216.17</v>
      </c>
      <c r="AG1030" s="1">
        <v>0</v>
      </c>
      <c r="AH1030" s="2">
        <v>45159</v>
      </c>
      <c r="AI1030" s="2">
        <v>45184</v>
      </c>
      <c r="AJ1030" s="2">
        <v>45148</v>
      </c>
    </row>
    <row r="1031" spans="1:36">
      <c r="A1031" s="1" t="str">
        <f>"98021741E1"</f>
        <v>98021741E1</v>
      </c>
      <c r="B1031" s="1" t="str">
        <f t="shared" si="22"/>
        <v>02406911202</v>
      </c>
      <c r="C1031" s="1" t="s">
        <v>13</v>
      </c>
      <c r="D1031" s="1" t="s">
        <v>167</v>
      </c>
      <c r="E1031" s="1" t="s">
        <v>1211</v>
      </c>
      <c r="F1031" s="1" t="s">
        <v>286</v>
      </c>
      <c r="G1031" s="1" t="str">
        <f>"03986581001"</f>
        <v>03986581001</v>
      </c>
      <c r="I1031" s="1" t="s">
        <v>1212</v>
      </c>
      <c r="L1031" s="1" t="s">
        <v>43</v>
      </c>
      <c r="M1031" s="1">
        <v>675952.08</v>
      </c>
      <c r="AG1031" s="1">
        <v>0</v>
      </c>
      <c r="AH1031" s="2">
        <v>45200</v>
      </c>
      <c r="AI1031" s="2">
        <v>46660</v>
      </c>
      <c r="AJ1031" s="2">
        <v>45200</v>
      </c>
    </row>
    <row r="1032" spans="1:36">
      <c r="A1032" s="1" t="str">
        <f>"2023003075"</f>
        <v>2023003075</v>
      </c>
      <c r="B1032" s="1" t="str">
        <f t="shared" si="22"/>
        <v>02406911202</v>
      </c>
      <c r="C1032" s="1" t="s">
        <v>13</v>
      </c>
      <c r="D1032" s="1" t="s">
        <v>167</v>
      </c>
      <c r="E1032" s="1" t="s">
        <v>1213</v>
      </c>
      <c r="F1032" s="1" t="s">
        <v>885</v>
      </c>
      <c r="G1032" s="1" t="str">
        <f>"02770891204"</f>
        <v>02770891204</v>
      </c>
      <c r="I1032" s="1" t="s">
        <v>886</v>
      </c>
      <c r="L1032" s="1" t="s">
        <v>43</v>
      </c>
      <c r="M1032" s="1">
        <v>182700</v>
      </c>
      <c r="AG1032" s="1">
        <v>0</v>
      </c>
      <c r="AH1032" s="2">
        <v>45281</v>
      </c>
      <c r="AI1032" s="2">
        <v>45657</v>
      </c>
      <c r="AJ1032" s="2">
        <v>45281</v>
      </c>
    </row>
    <row r="1033" spans="1:36">
      <c r="A1033" s="1" t="str">
        <f>"7808154484"</f>
        <v>7808154484</v>
      </c>
      <c r="B1033" s="1" t="str">
        <f t="shared" si="22"/>
        <v>02406911202</v>
      </c>
      <c r="C1033" s="1" t="s">
        <v>13</v>
      </c>
      <c r="D1033" s="1" t="s">
        <v>167</v>
      </c>
      <c r="E1033" s="1" t="s">
        <v>1214</v>
      </c>
      <c r="F1033" s="1" t="s">
        <v>151</v>
      </c>
      <c r="G1033" s="1" t="str">
        <f>"05131180969"</f>
        <v>05131180969</v>
      </c>
      <c r="I1033" s="1" t="s">
        <v>1215</v>
      </c>
      <c r="L1033" s="1" t="s">
        <v>43</v>
      </c>
      <c r="M1033" s="1">
        <v>63900</v>
      </c>
      <c r="AG1033" s="1">
        <v>0</v>
      </c>
      <c r="AH1033" s="2">
        <v>45202</v>
      </c>
      <c r="AI1033" s="2">
        <v>45291</v>
      </c>
      <c r="AJ1033" s="2">
        <v>45202</v>
      </c>
    </row>
    <row r="1034" spans="1:36">
      <c r="A1034" s="1" t="str">
        <f>"9478131123"</f>
        <v>9478131123</v>
      </c>
      <c r="B1034" s="1" t="str">
        <f t="shared" si="22"/>
        <v>02406911202</v>
      </c>
      <c r="C1034" s="1" t="s">
        <v>13</v>
      </c>
      <c r="D1034" s="1" t="s">
        <v>167</v>
      </c>
      <c r="E1034" s="1" t="s">
        <v>1216</v>
      </c>
      <c r="F1034" s="1" t="s">
        <v>151</v>
      </c>
      <c r="G1034" s="1" t="str">
        <f>"01818301200"</f>
        <v>01818301200</v>
      </c>
      <c r="I1034" s="1" t="s">
        <v>1217</v>
      </c>
      <c r="L1034" s="1" t="s">
        <v>43</v>
      </c>
      <c r="M1034" s="1">
        <v>49350</v>
      </c>
      <c r="AG1034" s="1">
        <v>0</v>
      </c>
      <c r="AH1034" s="2">
        <v>45275</v>
      </c>
      <c r="AI1034" s="2">
        <v>45291</v>
      </c>
      <c r="AJ1034" s="2">
        <v>45275</v>
      </c>
    </row>
    <row r="1035" spans="1:36">
      <c r="A1035" s="1" t="str">
        <f>"9485621613"</f>
        <v>9485621613</v>
      </c>
      <c r="B1035" s="1" t="str">
        <f t="shared" si="22"/>
        <v>02406911202</v>
      </c>
      <c r="C1035" s="1" t="s">
        <v>13</v>
      </c>
      <c r="D1035" s="1" t="s">
        <v>167</v>
      </c>
      <c r="E1035" s="1" t="s">
        <v>1218</v>
      </c>
      <c r="F1035" s="1" t="s">
        <v>286</v>
      </c>
      <c r="G1035" s="1" t="str">
        <f>"10181220152"</f>
        <v>10181220152</v>
      </c>
      <c r="I1035" s="1" t="s">
        <v>301</v>
      </c>
      <c r="L1035" s="1" t="s">
        <v>43</v>
      </c>
      <c r="M1035" s="1">
        <v>2452550</v>
      </c>
      <c r="AG1035" s="1">
        <v>0</v>
      </c>
      <c r="AH1035" s="2">
        <v>45208</v>
      </c>
      <c r="AI1035" s="2">
        <v>47034</v>
      </c>
      <c r="AJ1035" s="2">
        <v>45208</v>
      </c>
    </row>
    <row r="1036" spans="1:36">
      <c r="A1036" s="1" t="str">
        <f>"9840351289"</f>
        <v>9840351289</v>
      </c>
      <c r="B1036" s="1" t="str">
        <f t="shared" si="22"/>
        <v>02406911202</v>
      </c>
      <c r="C1036" s="1" t="s">
        <v>13</v>
      </c>
      <c r="D1036" s="1" t="s">
        <v>167</v>
      </c>
      <c r="E1036" s="1" t="s">
        <v>1219</v>
      </c>
      <c r="F1036" s="1" t="s">
        <v>286</v>
      </c>
      <c r="G1036" s="1" t="str">
        <f>"09412650153"</f>
        <v>09412650153</v>
      </c>
      <c r="I1036" s="1" t="s">
        <v>176</v>
      </c>
      <c r="L1036" s="1" t="s">
        <v>43</v>
      </c>
      <c r="M1036" s="1">
        <v>1557915.6</v>
      </c>
      <c r="AG1036" s="1">
        <v>32207.599999999999</v>
      </c>
      <c r="AH1036" s="2">
        <v>45170</v>
      </c>
      <c r="AI1036" s="2">
        <v>46599</v>
      </c>
      <c r="AJ1036" s="2">
        <v>45170</v>
      </c>
    </row>
    <row r="1037" spans="1:36">
      <c r="A1037" s="1" t="str">
        <f>"9943504714"</f>
        <v>9943504714</v>
      </c>
      <c r="B1037" s="1" t="str">
        <f t="shared" si="22"/>
        <v>02406911202</v>
      </c>
      <c r="C1037" s="1" t="s">
        <v>13</v>
      </c>
      <c r="D1037" s="1" t="s">
        <v>167</v>
      </c>
      <c r="E1037" s="1" t="s">
        <v>1220</v>
      </c>
      <c r="F1037" s="1" t="s">
        <v>39</v>
      </c>
      <c r="G1037" s="1" t="str">
        <f>"01137680938"</f>
        <v>01137680938</v>
      </c>
      <c r="I1037" s="1" t="s">
        <v>1221</v>
      </c>
      <c r="L1037" s="1" t="s">
        <v>43</v>
      </c>
      <c r="M1037" s="1">
        <v>78600</v>
      </c>
      <c r="AG1037" s="1">
        <v>0</v>
      </c>
      <c r="AH1037" s="2">
        <v>45231</v>
      </c>
      <c r="AI1037" s="2">
        <v>45961</v>
      </c>
      <c r="AJ1037" s="2">
        <v>45231</v>
      </c>
    </row>
    <row r="1038" spans="1:36">
      <c r="A1038" s="1" t="str">
        <f>"98806011E3"</f>
        <v>98806011E3</v>
      </c>
      <c r="B1038" s="1" t="str">
        <f t="shared" si="22"/>
        <v>02406911202</v>
      </c>
      <c r="C1038" s="1" t="s">
        <v>13</v>
      </c>
      <c r="D1038" s="1" t="s">
        <v>167</v>
      </c>
      <c r="E1038" s="1" t="s">
        <v>1222</v>
      </c>
      <c r="F1038" s="1" t="s">
        <v>39</v>
      </c>
      <c r="G1038" s="1" t="str">
        <f>"07629110151"</f>
        <v>07629110151</v>
      </c>
      <c r="I1038" s="1" t="s">
        <v>1223</v>
      </c>
      <c r="L1038" s="1" t="s">
        <v>43</v>
      </c>
      <c r="M1038" s="1">
        <v>95000</v>
      </c>
      <c r="AG1038" s="1">
        <v>0</v>
      </c>
      <c r="AH1038" s="2">
        <v>45122</v>
      </c>
      <c r="AI1038" s="2">
        <v>45487</v>
      </c>
      <c r="AJ1038" s="2">
        <v>45122</v>
      </c>
    </row>
    <row r="1039" spans="1:36">
      <c r="A1039" s="1" t="str">
        <f>"7808146DE7"</f>
        <v>7808146DE7</v>
      </c>
      <c r="B1039" s="1" t="str">
        <f t="shared" si="22"/>
        <v>02406911202</v>
      </c>
      <c r="C1039" s="1" t="s">
        <v>13</v>
      </c>
      <c r="D1039" s="1" t="s">
        <v>167</v>
      </c>
      <c r="E1039" s="1" t="s">
        <v>1224</v>
      </c>
      <c r="F1039" s="1" t="s">
        <v>151</v>
      </c>
      <c r="G1039" s="1" t="str">
        <f>"93027710016"</f>
        <v>93027710016</v>
      </c>
      <c r="I1039" s="1" t="s">
        <v>1225</v>
      </c>
      <c r="L1039" s="1" t="s">
        <v>43</v>
      </c>
      <c r="M1039" s="1">
        <v>363780</v>
      </c>
      <c r="AG1039" s="1">
        <v>0</v>
      </c>
      <c r="AH1039" s="2">
        <v>45202</v>
      </c>
      <c r="AI1039" s="2">
        <v>45291</v>
      </c>
      <c r="AJ1039" s="2">
        <v>45202</v>
      </c>
    </row>
    <row r="1040" spans="1:36">
      <c r="A1040" s="1" t="str">
        <f>"7808147EBA"</f>
        <v>7808147EBA</v>
      </c>
      <c r="B1040" s="1" t="str">
        <f t="shared" si="22"/>
        <v>02406911202</v>
      </c>
      <c r="C1040" s="1" t="s">
        <v>13</v>
      </c>
      <c r="D1040" s="1" t="s">
        <v>167</v>
      </c>
      <c r="E1040" s="1" t="s">
        <v>1226</v>
      </c>
      <c r="F1040" s="1" t="s">
        <v>151</v>
      </c>
      <c r="G1040" s="1" t="str">
        <f>"05131180969"</f>
        <v>05131180969</v>
      </c>
      <c r="I1040" s="1" t="s">
        <v>1215</v>
      </c>
      <c r="L1040" s="1" t="s">
        <v>43</v>
      </c>
      <c r="M1040" s="1">
        <v>123400</v>
      </c>
      <c r="AG1040" s="1">
        <v>0</v>
      </c>
      <c r="AH1040" s="2">
        <v>45202</v>
      </c>
      <c r="AI1040" s="2">
        <v>45291</v>
      </c>
      <c r="AJ1040" s="2">
        <v>45202</v>
      </c>
    </row>
    <row r="1041" spans="1:36">
      <c r="A1041" s="1" t="str">
        <f>"92395573A4"</f>
        <v>92395573A4</v>
      </c>
      <c r="B1041" s="1" t="str">
        <f t="shared" si="22"/>
        <v>02406911202</v>
      </c>
      <c r="C1041" s="1" t="s">
        <v>13</v>
      </c>
      <c r="D1041" s="1" t="s">
        <v>167</v>
      </c>
      <c r="E1041" s="1" t="s">
        <v>1227</v>
      </c>
      <c r="F1041" s="1" t="s">
        <v>286</v>
      </c>
      <c r="G1041" s="1" t="str">
        <f>"91155450371"</f>
        <v>91155450371</v>
      </c>
      <c r="I1041" s="1" t="s">
        <v>369</v>
      </c>
      <c r="L1041" s="1" t="s">
        <v>43</v>
      </c>
      <c r="M1041" s="1">
        <v>487857.05</v>
      </c>
      <c r="AG1041" s="1">
        <v>0</v>
      </c>
      <c r="AH1041" s="2">
        <v>45217</v>
      </c>
      <c r="AI1041" s="2">
        <v>47044</v>
      </c>
      <c r="AJ1041" s="2">
        <v>45217</v>
      </c>
    </row>
    <row r="1042" spans="1:36">
      <c r="A1042" s="1" t="str">
        <f>"9528398AC4"</f>
        <v>9528398AC4</v>
      </c>
      <c r="B1042" s="1" t="str">
        <f t="shared" si="22"/>
        <v>02406911202</v>
      </c>
      <c r="C1042" s="1" t="s">
        <v>13</v>
      </c>
      <c r="D1042" s="1" t="s">
        <v>167</v>
      </c>
      <c r="E1042" s="1" t="s">
        <v>1228</v>
      </c>
      <c r="F1042" s="1" t="s">
        <v>39</v>
      </c>
      <c r="G1042" s="1" t="str">
        <f>"01153330426"</f>
        <v>01153330426</v>
      </c>
      <c r="I1042" s="1" t="s">
        <v>693</v>
      </c>
      <c r="L1042" s="1" t="s">
        <v>43</v>
      </c>
      <c r="M1042" s="1">
        <v>96480</v>
      </c>
      <c r="AG1042" s="1">
        <v>0</v>
      </c>
      <c r="AH1042" s="2">
        <v>45204</v>
      </c>
      <c r="AI1042" s="2">
        <v>45291</v>
      </c>
      <c r="AJ1042" s="2">
        <v>45204</v>
      </c>
    </row>
    <row r="1043" spans="1:36">
      <c r="A1043" s="1" t="str">
        <f>"9774944AF6"</f>
        <v>9774944AF6</v>
      </c>
      <c r="B1043" s="1" t="str">
        <f t="shared" si="22"/>
        <v>02406911202</v>
      </c>
      <c r="C1043" s="1" t="s">
        <v>13</v>
      </c>
      <c r="D1043" s="1" t="s">
        <v>167</v>
      </c>
      <c r="E1043" s="1" t="s">
        <v>1229</v>
      </c>
      <c r="F1043" s="1" t="s">
        <v>286</v>
      </c>
      <c r="G1043" s="1" t="str">
        <f>"09075041005"</f>
        <v>09075041005</v>
      </c>
      <c r="I1043" s="1" t="s">
        <v>1230</v>
      </c>
      <c r="L1043" s="1" t="s">
        <v>43</v>
      </c>
      <c r="M1043" s="1">
        <v>313408</v>
      </c>
      <c r="AG1043" s="1">
        <v>0</v>
      </c>
      <c r="AH1043" s="2">
        <v>45261</v>
      </c>
      <c r="AI1043" s="2">
        <v>45991</v>
      </c>
      <c r="AJ1043" s="2">
        <v>45261</v>
      </c>
    </row>
    <row r="1044" spans="1:36">
      <c r="A1044" s="1" t="str">
        <f>"9867899FD9"</f>
        <v>9867899FD9</v>
      </c>
      <c r="B1044" s="1" t="str">
        <f t="shared" si="22"/>
        <v>02406911202</v>
      </c>
      <c r="C1044" s="1" t="s">
        <v>13</v>
      </c>
      <c r="D1044" s="1" t="s">
        <v>167</v>
      </c>
      <c r="E1044" s="1" t="s">
        <v>1231</v>
      </c>
      <c r="F1044" s="1" t="s">
        <v>151</v>
      </c>
      <c r="G1044" s="1" t="str">
        <f>"05131180969"</f>
        <v>05131180969</v>
      </c>
      <c r="I1044" s="1" t="s">
        <v>1215</v>
      </c>
      <c r="L1044" s="1" t="s">
        <v>43</v>
      </c>
      <c r="M1044" s="1">
        <v>1134000</v>
      </c>
      <c r="AG1044" s="1">
        <v>0</v>
      </c>
      <c r="AH1044" s="2">
        <v>45191</v>
      </c>
      <c r="AI1044" s="2">
        <v>45381</v>
      </c>
      <c r="AJ1044" s="2">
        <v>45191</v>
      </c>
    </row>
    <row r="1045" spans="1:36">
      <c r="A1045" s="1" t="str">
        <f>"9953112FD7"</f>
        <v>9953112FD7</v>
      </c>
      <c r="B1045" s="1" t="str">
        <f t="shared" si="22"/>
        <v>02406911202</v>
      </c>
      <c r="C1045" s="1" t="s">
        <v>13</v>
      </c>
      <c r="D1045" s="1" t="s">
        <v>167</v>
      </c>
      <c r="E1045" s="1" t="s">
        <v>1232</v>
      </c>
      <c r="F1045" s="1" t="s">
        <v>132</v>
      </c>
      <c r="G1045" s="1" t="str">
        <f>"01573930359"</f>
        <v>01573930359</v>
      </c>
      <c r="I1045" s="1" t="s">
        <v>1137</v>
      </c>
      <c r="L1045" s="1" t="s">
        <v>43</v>
      </c>
      <c r="M1045" s="1">
        <v>139500</v>
      </c>
      <c r="AG1045" s="1">
        <v>0</v>
      </c>
      <c r="AH1045" s="2">
        <v>45201</v>
      </c>
      <c r="AI1045" s="2">
        <v>45566</v>
      </c>
      <c r="AJ1045" s="2">
        <v>45201</v>
      </c>
    </row>
    <row r="1046" spans="1:36">
      <c r="A1046" s="1" t="str">
        <f>"996766595D"</f>
        <v>996766595D</v>
      </c>
      <c r="B1046" s="1" t="str">
        <f t="shared" si="22"/>
        <v>02406911202</v>
      </c>
      <c r="C1046" s="1" t="s">
        <v>13</v>
      </c>
      <c r="D1046" s="1" t="s">
        <v>167</v>
      </c>
      <c r="E1046" s="1" t="s">
        <v>1233</v>
      </c>
      <c r="F1046" s="1" t="s">
        <v>39</v>
      </c>
      <c r="G1046" s="1" t="str">
        <f>"08619670584"</f>
        <v>08619670584</v>
      </c>
      <c r="I1046" s="1" t="s">
        <v>550</v>
      </c>
      <c r="L1046" s="1" t="s">
        <v>43</v>
      </c>
      <c r="M1046" s="1">
        <v>64204.59</v>
      </c>
      <c r="AG1046" s="1">
        <v>0</v>
      </c>
      <c r="AH1046" s="2">
        <v>45126</v>
      </c>
      <c r="AI1046" s="2">
        <v>45291</v>
      </c>
      <c r="AJ1046" s="2">
        <v>45126</v>
      </c>
    </row>
    <row r="1047" spans="1:36">
      <c r="A1047" s="1" t="str">
        <f>"996769307B"</f>
        <v>996769307B</v>
      </c>
      <c r="B1047" s="1" t="str">
        <f t="shared" si="22"/>
        <v>02406911202</v>
      </c>
      <c r="C1047" s="1" t="s">
        <v>13</v>
      </c>
      <c r="D1047" s="1" t="s">
        <v>167</v>
      </c>
      <c r="E1047" s="1" t="s">
        <v>1234</v>
      </c>
      <c r="F1047" s="1" t="s">
        <v>1235</v>
      </c>
      <c r="G1047" s="1" t="str">
        <f>"01647390812"</f>
        <v>01647390812</v>
      </c>
      <c r="I1047" s="1" t="s">
        <v>1236</v>
      </c>
      <c r="L1047" s="1" t="s">
        <v>43</v>
      </c>
      <c r="M1047" s="1">
        <v>19731.5</v>
      </c>
      <c r="AG1047" s="1">
        <v>0</v>
      </c>
      <c r="AH1047" s="2">
        <v>45126</v>
      </c>
      <c r="AI1047" s="2">
        <v>45291</v>
      </c>
      <c r="AJ1047" s="2">
        <v>45126</v>
      </c>
    </row>
    <row r="1048" spans="1:36">
      <c r="A1048" s="1" t="str">
        <f>"99678523B0"</f>
        <v>99678523B0</v>
      </c>
      <c r="B1048" s="1" t="str">
        <f t="shared" si="22"/>
        <v>02406911202</v>
      </c>
      <c r="C1048" s="1" t="s">
        <v>13</v>
      </c>
      <c r="D1048" s="1" t="s">
        <v>167</v>
      </c>
      <c r="E1048" s="1" t="s">
        <v>1237</v>
      </c>
      <c r="F1048" s="1" t="s">
        <v>1235</v>
      </c>
      <c r="G1048" s="1" t="str">
        <f>"08619670584"</f>
        <v>08619670584</v>
      </c>
      <c r="I1048" s="1" t="s">
        <v>550</v>
      </c>
      <c r="L1048" s="1" t="s">
        <v>43</v>
      </c>
      <c r="M1048" s="1">
        <v>5474.81</v>
      </c>
      <c r="AG1048" s="1">
        <v>0</v>
      </c>
      <c r="AH1048" s="2">
        <v>45126</v>
      </c>
      <c r="AI1048" s="2">
        <v>45291</v>
      </c>
      <c r="AJ1048" s="2">
        <v>45126</v>
      </c>
    </row>
    <row r="1049" spans="1:36">
      <c r="A1049" s="1" t="str">
        <f>"A000C09F54"</f>
        <v>A000C09F54</v>
      </c>
      <c r="B1049" s="1" t="str">
        <f t="shared" si="22"/>
        <v>02406911202</v>
      </c>
      <c r="C1049" s="1" t="s">
        <v>13</v>
      </c>
      <c r="D1049" s="1" t="s">
        <v>167</v>
      </c>
      <c r="E1049" s="1" t="s">
        <v>1238</v>
      </c>
      <c r="F1049" s="1" t="s">
        <v>151</v>
      </c>
      <c r="G1049" s="1" t="str">
        <f>"00488410010"</f>
        <v>00488410010</v>
      </c>
      <c r="I1049" s="1" t="s">
        <v>207</v>
      </c>
      <c r="L1049" s="1" t="s">
        <v>43</v>
      </c>
      <c r="M1049" s="1">
        <v>280865.28000000003</v>
      </c>
      <c r="AG1049" s="1">
        <v>0</v>
      </c>
      <c r="AH1049" s="2">
        <v>45142</v>
      </c>
      <c r="AI1049" s="2">
        <v>45291</v>
      </c>
      <c r="AJ1049" s="2">
        <v>45142</v>
      </c>
    </row>
    <row r="1050" spans="1:36">
      <c r="A1050" s="1" t="str">
        <f>"A004D1A123"</f>
        <v>A004D1A123</v>
      </c>
      <c r="B1050" s="1" t="str">
        <f t="shared" si="22"/>
        <v>02406911202</v>
      </c>
      <c r="C1050" s="1" t="s">
        <v>13</v>
      </c>
      <c r="D1050" s="1" t="s">
        <v>167</v>
      </c>
      <c r="E1050" s="1" t="s">
        <v>1239</v>
      </c>
      <c r="F1050" s="1" t="s">
        <v>39</v>
      </c>
      <c r="H1050" s="1" t="str">
        <f>"823865599B01"</f>
        <v>823865599B01</v>
      </c>
      <c r="I1050" s="1" t="s">
        <v>1240</v>
      </c>
      <c r="L1050" s="1" t="s">
        <v>43</v>
      </c>
      <c r="M1050" s="1">
        <v>94293.25</v>
      </c>
      <c r="AG1050" s="1">
        <v>0</v>
      </c>
      <c r="AH1050" s="2">
        <v>45210</v>
      </c>
      <c r="AI1050" s="2">
        <v>45940</v>
      </c>
      <c r="AJ1050" s="2">
        <v>45210</v>
      </c>
    </row>
    <row r="1051" spans="1:36">
      <c r="A1051" s="1" t="str">
        <f>"A00519C970"</f>
        <v>A00519C970</v>
      </c>
      <c r="B1051" s="1" t="str">
        <f t="shared" si="22"/>
        <v>02406911202</v>
      </c>
      <c r="C1051" s="1" t="s">
        <v>13</v>
      </c>
      <c r="D1051" s="1" t="s">
        <v>167</v>
      </c>
      <c r="E1051" s="1" t="s">
        <v>1241</v>
      </c>
      <c r="F1051" s="1" t="s">
        <v>151</v>
      </c>
      <c r="G1051" s="1" t="str">
        <f>"08531760158"</f>
        <v>08531760158</v>
      </c>
      <c r="I1051" s="1" t="s">
        <v>1242</v>
      </c>
      <c r="J1051" s="1" t="s">
        <v>1243</v>
      </c>
      <c r="K1051" s="1" t="s">
        <v>141</v>
      </c>
      <c r="AJ1051" s="2">
        <v>45170</v>
      </c>
    </row>
    <row r="1052" spans="1:36">
      <c r="A1052" s="1" t="str">
        <f>"A00519C970"</f>
        <v>A00519C970</v>
      </c>
      <c r="B1052" s="1" t="str">
        <f t="shared" si="22"/>
        <v>02406911202</v>
      </c>
      <c r="C1052" s="1" t="s">
        <v>13</v>
      </c>
      <c r="D1052" s="1" t="s">
        <v>167</v>
      </c>
      <c r="E1052" s="1" t="s">
        <v>1241</v>
      </c>
      <c r="F1052" s="1" t="s">
        <v>151</v>
      </c>
      <c r="G1052" s="1" t="str">
        <f>"00615530672"</f>
        <v>00615530672</v>
      </c>
      <c r="I1052" s="1" t="s">
        <v>137</v>
      </c>
      <c r="J1052" s="1" t="s">
        <v>1243</v>
      </c>
      <c r="K1052" s="1" t="s">
        <v>139</v>
      </c>
      <c r="AJ1052" s="2">
        <v>45170</v>
      </c>
    </row>
    <row r="1053" spans="1:36">
      <c r="A1053" s="1" t="str">
        <f>"A00519C970"</f>
        <v>A00519C970</v>
      </c>
      <c r="B1053" s="1" t="str">
        <f t="shared" si="22"/>
        <v>02406911202</v>
      </c>
      <c r="C1053" s="1" t="s">
        <v>13</v>
      </c>
      <c r="D1053" s="1" t="s">
        <v>167</v>
      </c>
      <c r="E1053" s="1" t="s">
        <v>1241</v>
      </c>
      <c r="F1053" s="1" t="s">
        <v>151</v>
      </c>
      <c r="I1053" s="1" t="s">
        <v>1243</v>
      </c>
      <c r="L1053" s="1" t="s">
        <v>43</v>
      </c>
      <c r="M1053" s="1">
        <v>4508196.72</v>
      </c>
      <c r="AG1053" s="1">
        <v>872567.68</v>
      </c>
      <c r="AH1053" s="2">
        <v>45170</v>
      </c>
      <c r="AI1053" s="2">
        <v>45535</v>
      </c>
      <c r="AJ1053" s="2">
        <v>45170</v>
      </c>
    </row>
    <row r="1054" spans="1:36">
      <c r="A1054" s="1" t="str">
        <f>"A0075E8D6F"</f>
        <v>A0075E8D6F</v>
      </c>
      <c r="B1054" s="1" t="str">
        <f t="shared" si="22"/>
        <v>02406911202</v>
      </c>
      <c r="C1054" s="1" t="s">
        <v>13</v>
      </c>
      <c r="D1054" s="1" t="s">
        <v>167</v>
      </c>
      <c r="E1054" s="1" t="s">
        <v>1244</v>
      </c>
      <c r="F1054" s="1" t="s">
        <v>51</v>
      </c>
      <c r="G1054" s="1" t="str">
        <f>"03593680378"</f>
        <v>03593680378</v>
      </c>
      <c r="I1054" s="1" t="s">
        <v>1001</v>
      </c>
      <c r="L1054" s="1" t="s">
        <v>43</v>
      </c>
      <c r="M1054" s="1">
        <v>2325</v>
      </c>
      <c r="AG1054" s="1">
        <v>0</v>
      </c>
      <c r="AH1054" s="2">
        <v>45245</v>
      </c>
      <c r="AI1054" s="2">
        <v>45291</v>
      </c>
      <c r="AJ1054" s="2">
        <v>45245</v>
      </c>
    </row>
    <row r="1055" spans="1:36">
      <c r="A1055" s="1" t="str">
        <f>"A008424C8F"</f>
        <v>A008424C8F</v>
      </c>
      <c r="B1055" s="1" t="str">
        <f t="shared" si="22"/>
        <v>02406911202</v>
      </c>
      <c r="C1055" s="1" t="s">
        <v>13</v>
      </c>
      <c r="D1055" s="1" t="s">
        <v>167</v>
      </c>
      <c r="E1055" s="1" t="s">
        <v>1245</v>
      </c>
      <c r="F1055" s="1" t="s">
        <v>39</v>
      </c>
      <c r="G1055" s="1" t="str">
        <f>"00856750153"</f>
        <v>00856750153</v>
      </c>
      <c r="I1055" s="1" t="s">
        <v>299</v>
      </c>
      <c r="L1055" s="1" t="s">
        <v>43</v>
      </c>
      <c r="M1055" s="1">
        <v>178183.72</v>
      </c>
      <c r="AG1055" s="1">
        <v>0</v>
      </c>
      <c r="AH1055" s="2">
        <v>45210</v>
      </c>
      <c r="AI1055" s="2">
        <v>45291</v>
      </c>
      <c r="AJ1055" s="2">
        <v>45210</v>
      </c>
    </row>
    <row r="1056" spans="1:36">
      <c r="A1056" s="1" t="str">
        <f>"A00842D3FF"</f>
        <v>A00842D3FF</v>
      </c>
      <c r="B1056" s="1" t="str">
        <f t="shared" si="22"/>
        <v>02406911202</v>
      </c>
      <c r="C1056" s="1" t="s">
        <v>13</v>
      </c>
      <c r="D1056" s="1" t="s">
        <v>167</v>
      </c>
      <c r="E1056" s="1" t="s">
        <v>1246</v>
      </c>
      <c r="F1056" s="1" t="s">
        <v>39</v>
      </c>
      <c r="G1056" s="1" t="str">
        <f>"02723670960"</f>
        <v>02723670960</v>
      </c>
      <c r="I1056" s="1" t="s">
        <v>52</v>
      </c>
      <c r="L1056" s="1" t="s">
        <v>43</v>
      </c>
      <c r="M1056" s="1">
        <v>79950</v>
      </c>
      <c r="AG1056" s="1">
        <v>0</v>
      </c>
      <c r="AH1056" s="2">
        <v>45210</v>
      </c>
      <c r="AI1056" s="2">
        <v>45291</v>
      </c>
      <c r="AJ1056" s="2">
        <v>45210</v>
      </c>
    </row>
    <row r="1057" spans="1:36">
      <c r="A1057" s="1" t="str">
        <f>"A00E447236"</f>
        <v>A00E447236</v>
      </c>
      <c r="B1057" s="1" t="str">
        <f t="shared" si="22"/>
        <v>02406911202</v>
      </c>
      <c r="C1057" s="1" t="s">
        <v>13</v>
      </c>
      <c r="D1057" s="1" t="s">
        <v>167</v>
      </c>
      <c r="E1057" s="1" t="s">
        <v>1247</v>
      </c>
      <c r="F1057" s="1" t="s">
        <v>286</v>
      </c>
      <c r="G1057" s="1" t="str">
        <f>"03597020373"</f>
        <v>03597020373</v>
      </c>
      <c r="I1057" s="1" t="s">
        <v>254</v>
      </c>
      <c r="L1057" s="1" t="s">
        <v>43</v>
      </c>
      <c r="M1057" s="1">
        <v>420000</v>
      </c>
      <c r="AG1057" s="1">
        <v>0</v>
      </c>
      <c r="AH1057" s="2">
        <v>45231</v>
      </c>
      <c r="AI1057" s="2">
        <v>45961</v>
      </c>
      <c r="AJ1057" s="2">
        <v>45231</v>
      </c>
    </row>
    <row r="1058" spans="1:36">
      <c r="A1058" s="1" t="str">
        <f>"A00E47EF95"</f>
        <v>A00E47EF95</v>
      </c>
      <c r="B1058" s="1" t="str">
        <f t="shared" si="22"/>
        <v>02406911202</v>
      </c>
      <c r="C1058" s="1" t="s">
        <v>13</v>
      </c>
      <c r="D1058" s="1" t="s">
        <v>167</v>
      </c>
      <c r="E1058" s="1" t="s">
        <v>1248</v>
      </c>
      <c r="F1058" s="1" t="s">
        <v>286</v>
      </c>
      <c r="G1058" s="1" t="str">
        <f>"12244190158"</f>
        <v>12244190158</v>
      </c>
      <c r="I1058" s="1" t="s">
        <v>1249</v>
      </c>
      <c r="L1058" s="1" t="s">
        <v>43</v>
      </c>
      <c r="M1058" s="1">
        <v>150000</v>
      </c>
      <c r="AG1058" s="1">
        <v>0</v>
      </c>
      <c r="AH1058" s="2">
        <v>45231</v>
      </c>
      <c r="AI1058" s="2">
        <v>45961</v>
      </c>
      <c r="AJ1058" s="2">
        <v>45231</v>
      </c>
    </row>
    <row r="1059" spans="1:36">
      <c r="A1059" s="1" t="str">
        <f>"A00E4AD661"</f>
        <v>A00E4AD661</v>
      </c>
      <c r="B1059" s="1" t="str">
        <f t="shared" si="22"/>
        <v>02406911202</v>
      </c>
      <c r="C1059" s="1" t="s">
        <v>13</v>
      </c>
      <c r="D1059" s="1" t="s">
        <v>167</v>
      </c>
      <c r="E1059" s="1" t="s">
        <v>1250</v>
      </c>
      <c r="F1059" s="1" t="s">
        <v>286</v>
      </c>
      <c r="G1059" s="1" t="str">
        <f>"12933300969"</f>
        <v>12933300969</v>
      </c>
      <c r="I1059" s="1" t="s">
        <v>1251</v>
      </c>
      <c r="L1059" s="1" t="s">
        <v>43</v>
      </c>
      <c r="M1059" s="1">
        <v>5600</v>
      </c>
      <c r="AG1059" s="1">
        <v>0</v>
      </c>
      <c r="AH1059" s="2">
        <v>45231</v>
      </c>
      <c r="AI1059" s="2">
        <v>45961</v>
      </c>
      <c r="AJ1059" s="2">
        <v>45231</v>
      </c>
    </row>
    <row r="1060" spans="1:36">
      <c r="A1060" s="1" t="str">
        <f>"A00E4DFFA1"</f>
        <v>A00E4DFFA1</v>
      </c>
      <c r="B1060" s="1" t="str">
        <f t="shared" si="22"/>
        <v>02406911202</v>
      </c>
      <c r="C1060" s="1" t="s">
        <v>13</v>
      </c>
      <c r="D1060" s="1" t="s">
        <v>167</v>
      </c>
      <c r="E1060" s="1" t="s">
        <v>1252</v>
      </c>
      <c r="F1060" s="1" t="s">
        <v>286</v>
      </c>
      <c r="G1060" s="1" t="str">
        <f>"01681100150"</f>
        <v>01681100150</v>
      </c>
      <c r="I1060" s="1" t="s">
        <v>494</v>
      </c>
      <c r="L1060" s="1" t="s">
        <v>43</v>
      </c>
      <c r="M1060" s="1">
        <v>30000</v>
      </c>
      <c r="AG1060" s="1">
        <v>0</v>
      </c>
      <c r="AH1060" s="2">
        <v>45231</v>
      </c>
      <c r="AI1060" s="2">
        <v>45961</v>
      </c>
      <c r="AJ1060" s="2">
        <v>45231</v>
      </c>
    </row>
    <row r="1061" spans="1:36">
      <c r="A1061" s="1" t="str">
        <f>"A00E531350"</f>
        <v>A00E531350</v>
      </c>
      <c r="B1061" s="1" t="str">
        <f t="shared" si="22"/>
        <v>02406911202</v>
      </c>
      <c r="C1061" s="1" t="s">
        <v>13</v>
      </c>
      <c r="D1061" s="1" t="s">
        <v>167</v>
      </c>
      <c r="E1061" s="1" t="s">
        <v>1253</v>
      </c>
      <c r="F1061" s="1" t="s">
        <v>286</v>
      </c>
      <c r="G1061" s="1" t="str">
        <f>"06324460150"</f>
        <v>06324460150</v>
      </c>
      <c r="I1061" s="1" t="s">
        <v>451</v>
      </c>
      <c r="L1061" s="1" t="s">
        <v>43</v>
      </c>
      <c r="M1061" s="1">
        <v>9600</v>
      </c>
      <c r="AG1061" s="1">
        <v>0</v>
      </c>
      <c r="AH1061" s="2">
        <v>45231</v>
      </c>
      <c r="AI1061" s="2">
        <v>45961</v>
      </c>
      <c r="AJ1061" s="2">
        <v>45231</v>
      </c>
    </row>
    <row r="1062" spans="1:36">
      <c r="A1062" s="1" t="str">
        <f>"A00E55A525"</f>
        <v>A00E55A525</v>
      </c>
      <c r="B1062" s="1" t="str">
        <f t="shared" si="22"/>
        <v>02406911202</v>
      </c>
      <c r="C1062" s="1" t="s">
        <v>13</v>
      </c>
      <c r="D1062" s="1" t="s">
        <v>167</v>
      </c>
      <c r="E1062" s="1" t="s">
        <v>1254</v>
      </c>
      <c r="F1062" s="1" t="s">
        <v>286</v>
      </c>
      <c r="G1062" s="1" t="str">
        <f>"10191080158"</f>
        <v>10191080158</v>
      </c>
      <c r="I1062" s="1" t="s">
        <v>1255</v>
      </c>
      <c r="L1062" s="1" t="s">
        <v>43</v>
      </c>
      <c r="M1062" s="1">
        <v>31800</v>
      </c>
      <c r="AG1062" s="1">
        <v>0</v>
      </c>
      <c r="AH1062" s="2">
        <v>45231</v>
      </c>
      <c r="AI1062" s="2">
        <v>45961</v>
      </c>
      <c r="AJ1062" s="2">
        <v>45231</v>
      </c>
    </row>
    <row r="1063" spans="1:36">
      <c r="A1063" s="1" t="str">
        <f>"A00E5FA92D"</f>
        <v>A00E5FA92D</v>
      </c>
      <c r="B1063" s="1" t="str">
        <f t="shared" si="22"/>
        <v>02406911202</v>
      </c>
      <c r="C1063" s="1" t="s">
        <v>13</v>
      </c>
      <c r="D1063" s="1" t="s">
        <v>167</v>
      </c>
      <c r="E1063" s="1" t="s">
        <v>1256</v>
      </c>
      <c r="F1063" s="1" t="s">
        <v>286</v>
      </c>
      <c r="G1063" s="1" t="str">
        <f>"10191080158"</f>
        <v>10191080158</v>
      </c>
      <c r="I1063" s="1" t="s">
        <v>1255</v>
      </c>
      <c r="L1063" s="1" t="s">
        <v>43</v>
      </c>
      <c r="M1063" s="1">
        <v>15900</v>
      </c>
      <c r="AG1063" s="1">
        <v>0</v>
      </c>
      <c r="AH1063" s="2">
        <v>45231</v>
      </c>
      <c r="AI1063" s="2">
        <v>45961</v>
      </c>
      <c r="AJ1063" s="2">
        <v>45231</v>
      </c>
    </row>
    <row r="1064" spans="1:36">
      <c r="A1064" s="1" t="str">
        <f>"A00E6181F1"</f>
        <v>A00E6181F1</v>
      </c>
      <c r="B1064" s="1" t="str">
        <f t="shared" si="22"/>
        <v>02406911202</v>
      </c>
      <c r="C1064" s="1" t="s">
        <v>13</v>
      </c>
      <c r="D1064" s="1" t="s">
        <v>167</v>
      </c>
      <c r="E1064" s="1" t="s">
        <v>1257</v>
      </c>
      <c r="F1064" s="1" t="s">
        <v>286</v>
      </c>
      <c r="G1064" s="1" t="str">
        <f>"02790240101"</f>
        <v>02790240101</v>
      </c>
      <c r="I1064" s="1" t="s">
        <v>260</v>
      </c>
      <c r="L1064" s="1" t="s">
        <v>43</v>
      </c>
      <c r="M1064" s="1">
        <v>897.6</v>
      </c>
      <c r="AG1064" s="1">
        <v>0</v>
      </c>
      <c r="AH1064" s="2">
        <v>45231</v>
      </c>
      <c r="AI1064" s="2">
        <v>45991</v>
      </c>
      <c r="AJ1064" s="2">
        <v>45231</v>
      </c>
    </row>
    <row r="1065" spans="1:36">
      <c r="A1065" s="1" t="str">
        <f>"A00E629FF4"</f>
        <v>A00E629FF4</v>
      </c>
      <c r="B1065" s="1" t="str">
        <f t="shared" si="22"/>
        <v>02406911202</v>
      </c>
      <c r="C1065" s="1" t="s">
        <v>13</v>
      </c>
      <c r="D1065" s="1" t="s">
        <v>167</v>
      </c>
      <c r="E1065" s="1" t="s">
        <v>1258</v>
      </c>
      <c r="F1065" s="1" t="s">
        <v>286</v>
      </c>
      <c r="G1065" s="1" t="str">
        <f>"02790240101"</f>
        <v>02790240101</v>
      </c>
      <c r="I1065" s="1" t="s">
        <v>260</v>
      </c>
      <c r="L1065" s="1" t="s">
        <v>43</v>
      </c>
      <c r="M1065" s="1">
        <v>1344</v>
      </c>
      <c r="AG1065" s="1">
        <v>0</v>
      </c>
      <c r="AH1065" s="2">
        <v>45231</v>
      </c>
      <c r="AI1065" s="2">
        <v>45961</v>
      </c>
      <c r="AJ1065" s="2">
        <v>45231</v>
      </c>
    </row>
    <row r="1066" spans="1:36">
      <c r="A1066" s="1" t="str">
        <f>"A00E639D29"</f>
        <v>A00E639D29</v>
      </c>
      <c r="B1066" s="1" t="str">
        <f t="shared" si="22"/>
        <v>02406911202</v>
      </c>
      <c r="C1066" s="1" t="s">
        <v>13</v>
      </c>
      <c r="D1066" s="1" t="s">
        <v>167</v>
      </c>
      <c r="E1066" s="1" t="s">
        <v>1259</v>
      </c>
      <c r="F1066" s="1" t="s">
        <v>286</v>
      </c>
      <c r="G1066" s="1" t="str">
        <f>"02790240101"</f>
        <v>02790240101</v>
      </c>
      <c r="I1066" s="1" t="s">
        <v>260</v>
      </c>
      <c r="L1066" s="1" t="s">
        <v>43</v>
      </c>
      <c r="M1066" s="1">
        <v>1390</v>
      </c>
      <c r="AG1066" s="1">
        <v>0</v>
      </c>
      <c r="AH1066" s="2">
        <v>45231</v>
      </c>
      <c r="AI1066" s="2">
        <v>45961</v>
      </c>
      <c r="AJ1066" s="2">
        <v>45231</v>
      </c>
    </row>
    <row r="1067" spans="1:36">
      <c r="A1067" s="1" t="str">
        <f>"A00E6510FB"</f>
        <v>A00E6510FB</v>
      </c>
      <c r="B1067" s="1" t="str">
        <f t="shared" si="22"/>
        <v>02406911202</v>
      </c>
      <c r="C1067" s="1" t="s">
        <v>13</v>
      </c>
      <c r="D1067" s="1" t="s">
        <v>167</v>
      </c>
      <c r="E1067" s="1" t="s">
        <v>1260</v>
      </c>
      <c r="F1067" s="1" t="s">
        <v>286</v>
      </c>
      <c r="G1067" s="1" t="str">
        <f>"06324460150"</f>
        <v>06324460150</v>
      </c>
      <c r="I1067" s="1" t="s">
        <v>451</v>
      </c>
      <c r="L1067" s="1" t="s">
        <v>43</v>
      </c>
      <c r="M1067" s="1">
        <v>6360</v>
      </c>
      <c r="AG1067" s="1">
        <v>0</v>
      </c>
      <c r="AH1067" s="2">
        <v>45231</v>
      </c>
      <c r="AI1067" s="2">
        <v>45961</v>
      </c>
      <c r="AJ1067" s="2">
        <v>45231</v>
      </c>
    </row>
    <row r="1068" spans="1:36">
      <c r="A1068" s="1" t="str">
        <f>"A00E667322"</f>
        <v>A00E667322</v>
      </c>
      <c r="B1068" s="1" t="str">
        <f t="shared" si="22"/>
        <v>02406911202</v>
      </c>
      <c r="C1068" s="1" t="s">
        <v>13</v>
      </c>
      <c r="D1068" s="1" t="s">
        <v>167</v>
      </c>
      <c r="E1068" s="1" t="s">
        <v>1261</v>
      </c>
      <c r="F1068" s="1" t="s">
        <v>286</v>
      </c>
      <c r="G1068" s="1" t="str">
        <f>"06324460150"</f>
        <v>06324460150</v>
      </c>
      <c r="I1068" s="1" t="s">
        <v>451</v>
      </c>
      <c r="L1068" s="1" t="s">
        <v>43</v>
      </c>
      <c r="M1068" s="1">
        <v>24320</v>
      </c>
      <c r="AG1068" s="1">
        <v>0</v>
      </c>
      <c r="AH1068" s="2">
        <v>45231</v>
      </c>
      <c r="AI1068" s="2">
        <v>45589</v>
      </c>
      <c r="AJ1068" s="2">
        <v>45231</v>
      </c>
    </row>
    <row r="1069" spans="1:36">
      <c r="A1069" s="1" t="str">
        <f>"A00E675EAC"</f>
        <v>A00E675EAC</v>
      </c>
      <c r="B1069" s="1" t="str">
        <f t="shared" si="22"/>
        <v>02406911202</v>
      </c>
      <c r="C1069" s="1" t="s">
        <v>13</v>
      </c>
      <c r="D1069" s="1" t="s">
        <v>167</v>
      </c>
      <c r="E1069" s="1" t="s">
        <v>1262</v>
      </c>
      <c r="F1069" s="1" t="s">
        <v>286</v>
      </c>
      <c r="G1069" s="1" t="str">
        <f>"02790240101"</f>
        <v>02790240101</v>
      </c>
      <c r="I1069" s="1" t="s">
        <v>260</v>
      </c>
      <c r="L1069" s="1" t="s">
        <v>43</v>
      </c>
      <c r="M1069" s="1">
        <v>8340</v>
      </c>
      <c r="AG1069" s="1">
        <v>0</v>
      </c>
      <c r="AH1069" s="2">
        <v>45231</v>
      </c>
      <c r="AI1069" s="2">
        <v>45961</v>
      </c>
      <c r="AJ1069" s="2">
        <v>45231</v>
      </c>
    </row>
    <row r="1070" spans="1:36">
      <c r="A1070" s="1" t="str">
        <f>"A00E710E95"</f>
        <v>A00E710E95</v>
      </c>
      <c r="B1070" s="1" t="str">
        <f t="shared" si="22"/>
        <v>02406911202</v>
      </c>
      <c r="C1070" s="1" t="s">
        <v>13</v>
      </c>
      <c r="D1070" s="1" t="s">
        <v>167</v>
      </c>
      <c r="E1070" s="1" t="s">
        <v>1263</v>
      </c>
      <c r="F1070" s="1" t="s">
        <v>286</v>
      </c>
      <c r="G1070" s="1" t="str">
        <f>"06324460150"</f>
        <v>06324460150</v>
      </c>
      <c r="I1070" s="1" t="s">
        <v>451</v>
      </c>
      <c r="L1070" s="1" t="s">
        <v>43</v>
      </c>
      <c r="M1070" s="1">
        <v>5780</v>
      </c>
      <c r="AG1070" s="1">
        <v>0</v>
      </c>
      <c r="AH1070" s="2">
        <v>45231</v>
      </c>
      <c r="AI1070" s="2">
        <v>45961</v>
      </c>
      <c r="AJ1070" s="2">
        <v>45231</v>
      </c>
    </row>
    <row r="1071" spans="1:36">
      <c r="A1071" s="1" t="str">
        <f>"A00E728267"</f>
        <v>A00E728267</v>
      </c>
      <c r="B1071" s="1" t="str">
        <f t="shared" si="22"/>
        <v>02406911202</v>
      </c>
      <c r="C1071" s="1" t="s">
        <v>13</v>
      </c>
      <c r="D1071" s="1" t="s">
        <v>167</v>
      </c>
      <c r="E1071" s="1" t="s">
        <v>1264</v>
      </c>
      <c r="F1071" s="1" t="s">
        <v>286</v>
      </c>
      <c r="G1071" s="1" t="str">
        <f>"02173550282"</f>
        <v>02173550282</v>
      </c>
      <c r="I1071" s="1" t="s">
        <v>548</v>
      </c>
      <c r="L1071" s="1" t="s">
        <v>43</v>
      </c>
      <c r="M1071" s="1">
        <v>14000</v>
      </c>
      <c r="AG1071" s="1">
        <v>0</v>
      </c>
      <c r="AH1071" s="2">
        <v>45231</v>
      </c>
      <c r="AI1071" s="2">
        <v>45961</v>
      </c>
      <c r="AJ1071" s="2">
        <v>45231</v>
      </c>
    </row>
    <row r="1072" spans="1:36">
      <c r="A1072" s="1" t="str">
        <f>"A00E733B78"</f>
        <v>A00E733B78</v>
      </c>
      <c r="B1072" s="1" t="str">
        <f t="shared" si="22"/>
        <v>02406911202</v>
      </c>
      <c r="C1072" s="1" t="s">
        <v>13</v>
      </c>
      <c r="D1072" s="1" t="s">
        <v>167</v>
      </c>
      <c r="E1072" s="1" t="s">
        <v>1265</v>
      </c>
      <c r="F1072" s="1" t="s">
        <v>286</v>
      </c>
      <c r="G1072" s="1" t="str">
        <f>"06324460150"</f>
        <v>06324460150</v>
      </c>
      <c r="I1072" s="1" t="s">
        <v>451</v>
      </c>
      <c r="L1072" s="1" t="s">
        <v>43</v>
      </c>
      <c r="M1072" s="1">
        <v>195875</v>
      </c>
      <c r="AG1072" s="1">
        <v>0</v>
      </c>
      <c r="AH1072" s="2">
        <v>45231</v>
      </c>
      <c r="AI1072" s="2">
        <v>45961</v>
      </c>
      <c r="AJ1072" s="2">
        <v>45231</v>
      </c>
    </row>
    <row r="1073" spans="1:36">
      <c r="A1073" s="1" t="str">
        <f>"A00E75143C"</f>
        <v>A00E75143C</v>
      </c>
      <c r="B1073" s="1" t="str">
        <f t="shared" si="22"/>
        <v>02406911202</v>
      </c>
      <c r="C1073" s="1" t="s">
        <v>13</v>
      </c>
      <c r="D1073" s="1" t="s">
        <v>167</v>
      </c>
      <c r="E1073" s="1" t="s">
        <v>1266</v>
      </c>
      <c r="F1073" s="1" t="s">
        <v>286</v>
      </c>
      <c r="G1073" s="1" t="str">
        <f>"00674840152"</f>
        <v>00674840152</v>
      </c>
      <c r="I1073" s="1" t="s">
        <v>87</v>
      </c>
      <c r="L1073" s="1" t="s">
        <v>43</v>
      </c>
      <c r="M1073" s="1">
        <v>21200</v>
      </c>
      <c r="AG1073" s="1">
        <v>0</v>
      </c>
      <c r="AH1073" s="2">
        <v>45231</v>
      </c>
      <c r="AI1073" s="2">
        <v>45961</v>
      </c>
      <c r="AJ1073" s="2">
        <v>45231</v>
      </c>
    </row>
    <row r="1074" spans="1:36">
      <c r="A1074" s="1" t="str">
        <f>"A00E75FFC6"</f>
        <v>A00E75FFC6</v>
      </c>
      <c r="B1074" s="1" t="str">
        <f t="shared" si="22"/>
        <v>02406911202</v>
      </c>
      <c r="C1074" s="1" t="s">
        <v>13</v>
      </c>
      <c r="D1074" s="1" t="s">
        <v>167</v>
      </c>
      <c r="E1074" s="1" t="s">
        <v>1267</v>
      </c>
      <c r="F1074" s="1" t="s">
        <v>286</v>
      </c>
      <c r="G1074" s="1" t="str">
        <f>"00674840152"</f>
        <v>00674840152</v>
      </c>
      <c r="I1074" s="1" t="s">
        <v>87</v>
      </c>
      <c r="L1074" s="1" t="s">
        <v>43</v>
      </c>
      <c r="M1074" s="1">
        <v>11400</v>
      </c>
      <c r="AG1074" s="1">
        <v>0</v>
      </c>
      <c r="AH1074" s="2">
        <v>45231</v>
      </c>
      <c r="AI1074" s="2">
        <v>45961</v>
      </c>
      <c r="AJ1074" s="2">
        <v>45231</v>
      </c>
    </row>
    <row r="1075" spans="1:36">
      <c r="A1075" s="1" t="str">
        <f>"A00E772F74"</f>
        <v>A00E772F74</v>
      </c>
      <c r="B1075" s="1" t="str">
        <f t="shared" si="22"/>
        <v>02406911202</v>
      </c>
      <c r="C1075" s="1" t="s">
        <v>13</v>
      </c>
      <c r="D1075" s="1" t="s">
        <v>167</v>
      </c>
      <c r="E1075" s="1" t="s">
        <v>1268</v>
      </c>
      <c r="F1075" s="1" t="s">
        <v>286</v>
      </c>
      <c r="G1075" s="1" t="str">
        <f>"02173550282"</f>
        <v>02173550282</v>
      </c>
      <c r="I1075" s="1" t="s">
        <v>548</v>
      </c>
      <c r="L1075" s="1" t="s">
        <v>43</v>
      </c>
      <c r="M1075" s="1">
        <v>82500</v>
      </c>
      <c r="AG1075" s="1">
        <v>0</v>
      </c>
      <c r="AH1075" s="2">
        <v>45231</v>
      </c>
      <c r="AI1075" s="2">
        <v>45961</v>
      </c>
      <c r="AJ1075" s="2">
        <v>45231</v>
      </c>
    </row>
    <row r="1076" spans="1:36">
      <c r="A1076" s="1" t="str">
        <f>"A00E77B6E4"</f>
        <v>A00E77B6E4</v>
      </c>
      <c r="B1076" s="1" t="str">
        <f t="shared" si="22"/>
        <v>02406911202</v>
      </c>
      <c r="C1076" s="1" t="s">
        <v>13</v>
      </c>
      <c r="D1076" s="1" t="s">
        <v>167</v>
      </c>
      <c r="E1076" s="1" t="s">
        <v>1269</v>
      </c>
      <c r="F1076" s="1" t="s">
        <v>286</v>
      </c>
      <c r="G1076" s="1" t="str">
        <f>"06324460150"</f>
        <v>06324460150</v>
      </c>
      <c r="I1076" s="1" t="s">
        <v>451</v>
      </c>
      <c r="L1076" s="1" t="s">
        <v>43</v>
      </c>
      <c r="M1076" s="1">
        <v>141600</v>
      </c>
      <c r="AG1076" s="1">
        <v>0</v>
      </c>
      <c r="AH1076" s="2">
        <v>45231</v>
      </c>
      <c r="AI1076" s="2">
        <v>45961</v>
      </c>
      <c r="AJ1076" s="2">
        <v>45231</v>
      </c>
    </row>
    <row r="1077" spans="1:36">
      <c r="A1077" s="1" t="str">
        <f>"A00E7B351B"</f>
        <v>A00E7B351B</v>
      </c>
      <c r="B1077" s="1" t="str">
        <f t="shared" si="22"/>
        <v>02406911202</v>
      </c>
      <c r="C1077" s="1" t="s">
        <v>13</v>
      </c>
      <c r="D1077" s="1" t="s">
        <v>167</v>
      </c>
      <c r="E1077" s="1" t="s">
        <v>1270</v>
      </c>
      <c r="F1077" s="1" t="s">
        <v>286</v>
      </c>
      <c r="G1077" s="1" t="str">
        <f>"02173550282"</f>
        <v>02173550282</v>
      </c>
      <c r="I1077" s="1" t="s">
        <v>548</v>
      </c>
      <c r="L1077" s="1" t="s">
        <v>43</v>
      </c>
      <c r="M1077" s="1">
        <v>179600</v>
      </c>
      <c r="AG1077" s="1">
        <v>0</v>
      </c>
      <c r="AH1077" s="2">
        <v>45231</v>
      </c>
      <c r="AI1077" s="2">
        <v>45961</v>
      </c>
      <c r="AJ1077" s="2">
        <v>45231</v>
      </c>
    </row>
    <row r="1078" spans="1:36">
      <c r="A1078" s="1" t="str">
        <f>"A00E7CDA8E"</f>
        <v>A00E7CDA8E</v>
      </c>
      <c r="B1078" s="1" t="str">
        <f t="shared" si="22"/>
        <v>02406911202</v>
      </c>
      <c r="C1078" s="1" t="s">
        <v>13</v>
      </c>
      <c r="D1078" s="1" t="s">
        <v>167</v>
      </c>
      <c r="E1078" s="1" t="s">
        <v>1271</v>
      </c>
      <c r="F1078" s="1" t="s">
        <v>286</v>
      </c>
      <c r="G1078" s="1" t="str">
        <f>"01681100150"</f>
        <v>01681100150</v>
      </c>
      <c r="I1078" s="1" t="s">
        <v>494</v>
      </c>
      <c r="L1078" s="1" t="s">
        <v>43</v>
      </c>
      <c r="M1078" s="1">
        <v>275000</v>
      </c>
      <c r="AG1078" s="1">
        <v>0</v>
      </c>
      <c r="AH1078" s="2">
        <v>45231</v>
      </c>
      <c r="AI1078" s="2">
        <v>45961</v>
      </c>
      <c r="AJ1078" s="2">
        <v>45231</v>
      </c>
    </row>
    <row r="1079" spans="1:36">
      <c r="A1079" s="1" t="str">
        <f>"A00E7EB352"</f>
        <v>A00E7EB352</v>
      </c>
      <c r="B1079" s="1" t="str">
        <f t="shared" si="22"/>
        <v>02406911202</v>
      </c>
      <c r="C1079" s="1" t="s">
        <v>13</v>
      </c>
      <c r="D1079" s="1" t="s">
        <v>167</v>
      </c>
      <c r="E1079" s="1" t="s">
        <v>1272</v>
      </c>
      <c r="F1079" s="1" t="s">
        <v>286</v>
      </c>
      <c r="G1079" s="1" t="str">
        <f>"01681100150"</f>
        <v>01681100150</v>
      </c>
      <c r="I1079" s="1" t="s">
        <v>494</v>
      </c>
      <c r="L1079" s="1" t="s">
        <v>43</v>
      </c>
      <c r="M1079" s="1">
        <v>110000</v>
      </c>
      <c r="AG1079" s="1">
        <v>0</v>
      </c>
      <c r="AH1079" s="2">
        <v>45231</v>
      </c>
      <c r="AI1079" s="2">
        <v>45961</v>
      </c>
      <c r="AJ1079" s="2">
        <v>45231</v>
      </c>
    </row>
    <row r="1080" spans="1:36">
      <c r="A1080" s="1" t="str">
        <f>"A00E86DE96"</f>
        <v>A00E86DE96</v>
      </c>
      <c r="B1080" s="1" t="str">
        <f t="shared" si="22"/>
        <v>02406911202</v>
      </c>
      <c r="C1080" s="1" t="s">
        <v>13</v>
      </c>
      <c r="D1080" s="1" t="s">
        <v>167</v>
      </c>
      <c r="E1080" s="1" t="s">
        <v>1273</v>
      </c>
      <c r="F1080" s="1" t="s">
        <v>286</v>
      </c>
      <c r="G1080" s="1" t="str">
        <f>"01677460303"</f>
        <v>01677460303</v>
      </c>
      <c r="I1080" s="1" t="s">
        <v>1274</v>
      </c>
      <c r="L1080" s="1" t="s">
        <v>43</v>
      </c>
      <c r="M1080" s="1">
        <v>11200</v>
      </c>
      <c r="AG1080" s="1">
        <v>0</v>
      </c>
      <c r="AH1080" s="2">
        <v>45231</v>
      </c>
      <c r="AI1080" s="2">
        <v>45961</v>
      </c>
      <c r="AJ1080" s="2">
        <v>45231</v>
      </c>
    </row>
    <row r="1081" spans="1:36">
      <c r="A1081" s="1" t="str">
        <f>"A00E87FD71"</f>
        <v>A00E87FD71</v>
      </c>
      <c r="B1081" s="1" t="str">
        <f t="shared" si="22"/>
        <v>02406911202</v>
      </c>
      <c r="C1081" s="1" t="s">
        <v>13</v>
      </c>
      <c r="D1081" s="1" t="s">
        <v>167</v>
      </c>
      <c r="E1081" s="1" t="s">
        <v>1275</v>
      </c>
      <c r="F1081" s="1" t="s">
        <v>286</v>
      </c>
      <c r="G1081" s="1" t="str">
        <f>"01677460303"</f>
        <v>01677460303</v>
      </c>
      <c r="I1081" s="1" t="s">
        <v>1274</v>
      </c>
      <c r="L1081" s="1" t="s">
        <v>43</v>
      </c>
      <c r="M1081" s="1">
        <v>11200</v>
      </c>
      <c r="AG1081" s="1">
        <v>0</v>
      </c>
      <c r="AH1081" s="2">
        <v>45231</v>
      </c>
      <c r="AI1081" s="2">
        <v>45961</v>
      </c>
      <c r="AJ1081" s="2">
        <v>45231</v>
      </c>
    </row>
    <row r="1082" spans="1:36">
      <c r="A1082" s="1" t="str">
        <f>"A00E893DF2"</f>
        <v>A00E893DF2</v>
      </c>
      <c r="B1082" s="1" t="str">
        <f t="shared" si="22"/>
        <v>02406911202</v>
      </c>
      <c r="C1082" s="1" t="s">
        <v>13</v>
      </c>
      <c r="D1082" s="1" t="s">
        <v>167</v>
      </c>
      <c r="E1082" s="1" t="s">
        <v>1276</v>
      </c>
      <c r="F1082" s="1" t="s">
        <v>286</v>
      </c>
      <c r="G1082" s="1" t="str">
        <f>"01677460303"</f>
        <v>01677460303</v>
      </c>
      <c r="I1082" s="1" t="s">
        <v>1274</v>
      </c>
      <c r="L1082" s="1" t="s">
        <v>43</v>
      </c>
      <c r="M1082" s="1">
        <v>2440</v>
      </c>
      <c r="AG1082" s="1">
        <v>0</v>
      </c>
      <c r="AH1082" s="2">
        <v>45231</v>
      </c>
      <c r="AI1082" s="2">
        <v>45961</v>
      </c>
      <c r="AJ1082" s="2">
        <v>45231</v>
      </c>
    </row>
    <row r="1083" spans="1:36">
      <c r="A1083" s="1" t="str">
        <f>"A00E8A4BFA"</f>
        <v>A00E8A4BFA</v>
      </c>
      <c r="B1083" s="1" t="str">
        <f t="shared" si="22"/>
        <v>02406911202</v>
      </c>
      <c r="C1083" s="1" t="s">
        <v>13</v>
      </c>
      <c r="D1083" s="1" t="s">
        <v>167</v>
      </c>
      <c r="E1083" s="1" t="s">
        <v>1277</v>
      </c>
      <c r="F1083" s="1" t="s">
        <v>286</v>
      </c>
      <c r="G1083" s="1" t="str">
        <f>"01681100150"</f>
        <v>01681100150</v>
      </c>
      <c r="I1083" s="1" t="s">
        <v>494</v>
      </c>
      <c r="L1083" s="1" t="s">
        <v>43</v>
      </c>
      <c r="M1083" s="1">
        <v>7200</v>
      </c>
      <c r="AG1083" s="1">
        <v>0</v>
      </c>
      <c r="AH1083" s="2">
        <v>45231</v>
      </c>
      <c r="AI1083" s="2">
        <v>45961</v>
      </c>
      <c r="AJ1083" s="2">
        <v>45231</v>
      </c>
    </row>
    <row r="1084" spans="1:36">
      <c r="A1084" s="1" t="str">
        <f>"A00E8BD09F"</f>
        <v>A00E8BD09F</v>
      </c>
      <c r="B1084" s="1" t="str">
        <f t="shared" si="22"/>
        <v>02406911202</v>
      </c>
      <c r="C1084" s="1" t="s">
        <v>13</v>
      </c>
      <c r="D1084" s="1" t="s">
        <v>167</v>
      </c>
      <c r="E1084" s="1" t="s">
        <v>1278</v>
      </c>
      <c r="F1084" s="1" t="s">
        <v>286</v>
      </c>
      <c r="G1084" s="1" t="str">
        <f>"02173550282"</f>
        <v>02173550282</v>
      </c>
      <c r="I1084" s="1" t="s">
        <v>548</v>
      </c>
      <c r="L1084" s="1" t="s">
        <v>43</v>
      </c>
      <c r="M1084" s="1">
        <v>1794</v>
      </c>
      <c r="AG1084" s="1">
        <v>0</v>
      </c>
      <c r="AH1084" s="2">
        <v>45231</v>
      </c>
      <c r="AI1084" s="2">
        <v>45961</v>
      </c>
      <c r="AJ1084" s="2">
        <v>45231</v>
      </c>
    </row>
    <row r="1085" spans="1:36">
      <c r="A1085" s="1" t="str">
        <f>"A00E8C680A"</f>
        <v>A00E8C680A</v>
      </c>
      <c r="B1085" s="1" t="str">
        <f t="shared" si="22"/>
        <v>02406911202</v>
      </c>
      <c r="C1085" s="1" t="s">
        <v>13</v>
      </c>
      <c r="D1085" s="1" t="s">
        <v>167</v>
      </c>
      <c r="E1085" s="1" t="s">
        <v>1279</v>
      </c>
      <c r="F1085" s="1" t="s">
        <v>286</v>
      </c>
      <c r="G1085" s="1" t="str">
        <f>"02173550282"</f>
        <v>02173550282</v>
      </c>
      <c r="I1085" s="1" t="s">
        <v>548</v>
      </c>
      <c r="L1085" s="1" t="s">
        <v>43</v>
      </c>
      <c r="M1085" s="1">
        <v>11040</v>
      </c>
      <c r="AG1085" s="1">
        <v>0</v>
      </c>
      <c r="AH1085" s="2">
        <v>45231</v>
      </c>
      <c r="AI1085" s="2">
        <v>45961</v>
      </c>
      <c r="AJ1085" s="2">
        <v>45231</v>
      </c>
    </row>
    <row r="1086" spans="1:36">
      <c r="A1086" s="1" t="str">
        <f>"A00FDBA28F"</f>
        <v>A00FDBA28F</v>
      </c>
      <c r="B1086" s="1" t="str">
        <f t="shared" si="22"/>
        <v>02406911202</v>
      </c>
      <c r="C1086" s="1" t="s">
        <v>13</v>
      </c>
      <c r="D1086" s="1" t="s">
        <v>167</v>
      </c>
      <c r="E1086" s="1" t="s">
        <v>1280</v>
      </c>
      <c r="F1086" s="1" t="s">
        <v>39</v>
      </c>
      <c r="G1086" s="1" t="str">
        <f>"80063930376"</f>
        <v>80063930376</v>
      </c>
      <c r="I1086" s="1" t="s">
        <v>129</v>
      </c>
      <c r="L1086" s="1" t="s">
        <v>43</v>
      </c>
      <c r="M1086" s="1">
        <v>498260.06</v>
      </c>
      <c r="AG1086" s="1">
        <v>0</v>
      </c>
      <c r="AH1086" s="2">
        <v>45200</v>
      </c>
      <c r="AI1086" s="2">
        <v>45565</v>
      </c>
      <c r="AJ1086" s="2">
        <v>45200</v>
      </c>
    </row>
    <row r="1087" spans="1:36">
      <c r="A1087" s="1" t="str">
        <f>"A0107FA7F2"</f>
        <v>A0107FA7F2</v>
      </c>
      <c r="B1087" s="1" t="str">
        <f t="shared" si="22"/>
        <v>02406911202</v>
      </c>
      <c r="C1087" s="1" t="s">
        <v>13</v>
      </c>
      <c r="D1087" s="1" t="s">
        <v>167</v>
      </c>
      <c r="E1087" s="1" t="s">
        <v>1281</v>
      </c>
      <c r="F1087" s="1" t="s">
        <v>39</v>
      </c>
      <c r="G1087" s="1" t="str">
        <f>"80063930376"</f>
        <v>80063930376</v>
      </c>
      <c r="I1087" s="1" t="s">
        <v>129</v>
      </c>
      <c r="L1087" s="1" t="s">
        <v>43</v>
      </c>
      <c r="M1087" s="1">
        <v>368123.9</v>
      </c>
      <c r="AG1087" s="1">
        <v>0</v>
      </c>
      <c r="AH1087" s="2">
        <v>45200</v>
      </c>
      <c r="AI1087" s="2">
        <v>45930</v>
      </c>
      <c r="AJ1087" s="2">
        <v>45200</v>
      </c>
    </row>
    <row r="1088" spans="1:36">
      <c r="A1088" s="1" t="str">
        <f>"A011AE32DF"</f>
        <v>A011AE32DF</v>
      </c>
      <c r="B1088" s="1" t="str">
        <f t="shared" si="22"/>
        <v>02406911202</v>
      </c>
      <c r="C1088" s="1" t="s">
        <v>13</v>
      </c>
      <c r="D1088" s="1" t="s">
        <v>167</v>
      </c>
      <c r="E1088" s="1" t="s">
        <v>1282</v>
      </c>
      <c r="F1088" s="1" t="s">
        <v>151</v>
      </c>
      <c r="G1088" s="1" t="str">
        <f>"08862820969"</f>
        <v>08862820969</v>
      </c>
      <c r="I1088" s="1" t="s">
        <v>147</v>
      </c>
      <c r="L1088" s="1" t="s">
        <v>43</v>
      </c>
      <c r="M1088" s="1">
        <v>56142</v>
      </c>
      <c r="AG1088" s="1">
        <v>0</v>
      </c>
      <c r="AH1088" s="2">
        <v>45200</v>
      </c>
      <c r="AI1088" s="2">
        <v>45443</v>
      </c>
      <c r="AJ1088" s="2">
        <v>45200</v>
      </c>
    </row>
    <row r="1089" spans="1:36">
      <c r="A1089" s="1" t="str">
        <f>"A01241F1B5"</f>
        <v>A01241F1B5</v>
      </c>
      <c r="B1089" s="1" t="str">
        <f t="shared" si="22"/>
        <v>02406911202</v>
      </c>
      <c r="C1089" s="1" t="s">
        <v>13</v>
      </c>
      <c r="D1089" s="1" t="s">
        <v>167</v>
      </c>
      <c r="E1089" s="1" t="s">
        <v>1283</v>
      </c>
      <c r="F1089" s="1" t="s">
        <v>151</v>
      </c>
      <c r="G1089" s="1" t="str">
        <f>"03411480373"</f>
        <v>03411480373</v>
      </c>
      <c r="I1089" s="1" t="s">
        <v>174</v>
      </c>
      <c r="L1089" s="1" t="s">
        <v>43</v>
      </c>
      <c r="M1089" s="1">
        <v>83665.5</v>
      </c>
      <c r="AG1089" s="1">
        <v>74.400000000000006</v>
      </c>
      <c r="AH1089" s="2">
        <v>45196</v>
      </c>
      <c r="AI1089" s="2">
        <v>46623</v>
      </c>
      <c r="AJ1089" s="2">
        <v>45196</v>
      </c>
    </row>
    <row r="1090" spans="1:36">
      <c r="A1090" s="1" t="str">
        <f>"A0124472B7"</f>
        <v>A0124472B7</v>
      </c>
      <c r="B1090" s="1" t="str">
        <f t="shared" ref="B1090:B1153" si="23">"02406911202"</f>
        <v>02406911202</v>
      </c>
      <c r="C1090" s="1" t="s">
        <v>13</v>
      </c>
      <c r="D1090" s="1" t="s">
        <v>167</v>
      </c>
      <c r="E1090" s="1" t="s">
        <v>1284</v>
      </c>
      <c r="F1090" s="1" t="s">
        <v>151</v>
      </c>
      <c r="G1090" s="1" t="str">
        <f>"03411480373"</f>
        <v>03411480373</v>
      </c>
      <c r="I1090" s="1" t="s">
        <v>174</v>
      </c>
      <c r="L1090" s="1" t="s">
        <v>43</v>
      </c>
      <c r="M1090" s="1">
        <v>290648.3</v>
      </c>
      <c r="AG1090" s="1">
        <v>59.95</v>
      </c>
      <c r="AH1090" s="2">
        <v>45196</v>
      </c>
      <c r="AI1090" s="2">
        <v>46623</v>
      </c>
      <c r="AJ1090" s="2">
        <v>45196</v>
      </c>
    </row>
    <row r="1091" spans="1:36">
      <c r="A1091" s="1" t="str">
        <f>"A01246C140"</f>
        <v>A01246C140</v>
      </c>
      <c r="B1091" s="1" t="str">
        <f t="shared" si="23"/>
        <v>02406911202</v>
      </c>
      <c r="C1091" s="1" t="s">
        <v>13</v>
      </c>
      <c r="D1091" s="1" t="s">
        <v>167</v>
      </c>
      <c r="E1091" s="1" t="s">
        <v>1285</v>
      </c>
      <c r="F1091" s="1" t="s">
        <v>151</v>
      </c>
      <c r="G1091" s="1" t="str">
        <f>"03411480373"</f>
        <v>03411480373</v>
      </c>
      <c r="I1091" s="1" t="s">
        <v>174</v>
      </c>
      <c r="L1091" s="1" t="s">
        <v>43</v>
      </c>
      <c r="M1091" s="1">
        <v>116406.5</v>
      </c>
      <c r="AG1091" s="1">
        <v>0</v>
      </c>
      <c r="AH1091" s="2">
        <v>45196</v>
      </c>
      <c r="AI1091" s="2">
        <v>46623</v>
      </c>
      <c r="AJ1091" s="2">
        <v>45196</v>
      </c>
    </row>
    <row r="1092" spans="1:36">
      <c r="A1092" s="1" t="str">
        <f>"A0131AC06B"</f>
        <v>A0131AC06B</v>
      </c>
      <c r="B1092" s="1" t="str">
        <f t="shared" si="23"/>
        <v>02406911202</v>
      </c>
      <c r="C1092" s="1" t="s">
        <v>13</v>
      </c>
      <c r="D1092" s="1" t="s">
        <v>167</v>
      </c>
      <c r="E1092" s="1" t="s">
        <v>1286</v>
      </c>
      <c r="F1092" s="1" t="s">
        <v>151</v>
      </c>
      <c r="G1092" s="1" t="str">
        <f>"93027710016"</f>
        <v>93027710016</v>
      </c>
      <c r="I1092" s="1" t="s">
        <v>1225</v>
      </c>
      <c r="L1092" s="1" t="s">
        <v>43</v>
      </c>
      <c r="M1092" s="1">
        <v>363780</v>
      </c>
      <c r="AG1092" s="1">
        <v>0</v>
      </c>
      <c r="AH1092" s="2">
        <v>45209</v>
      </c>
      <c r="AI1092" s="2">
        <v>45291</v>
      </c>
      <c r="AJ1092" s="2">
        <v>45209</v>
      </c>
    </row>
    <row r="1093" spans="1:36">
      <c r="A1093" s="1" t="str">
        <f>"A0131CDBA3"</f>
        <v>A0131CDBA3</v>
      </c>
      <c r="B1093" s="1" t="str">
        <f t="shared" si="23"/>
        <v>02406911202</v>
      </c>
      <c r="C1093" s="1" t="s">
        <v>13</v>
      </c>
      <c r="D1093" s="1" t="s">
        <v>167</v>
      </c>
      <c r="E1093" s="1" t="s">
        <v>1287</v>
      </c>
      <c r="F1093" s="1" t="s">
        <v>151</v>
      </c>
      <c r="G1093" s="1" t="str">
        <f>"10784350158"</f>
        <v>10784350158</v>
      </c>
      <c r="I1093" s="1" t="s">
        <v>1288</v>
      </c>
      <c r="L1093" s="1" t="s">
        <v>43</v>
      </c>
      <c r="M1093" s="1">
        <v>123400</v>
      </c>
      <c r="AG1093" s="1">
        <v>0</v>
      </c>
      <c r="AH1093" s="2">
        <v>45209</v>
      </c>
      <c r="AI1093" s="2">
        <v>45291</v>
      </c>
      <c r="AJ1093" s="2">
        <v>45209</v>
      </c>
    </row>
    <row r="1094" spans="1:36">
      <c r="A1094" s="1" t="str">
        <f>"A0131FC26F"</f>
        <v>A0131FC26F</v>
      </c>
      <c r="B1094" s="1" t="str">
        <f t="shared" si="23"/>
        <v>02406911202</v>
      </c>
      <c r="C1094" s="1" t="s">
        <v>13</v>
      </c>
      <c r="D1094" s="1" t="s">
        <v>167</v>
      </c>
      <c r="E1094" s="1" t="s">
        <v>1289</v>
      </c>
      <c r="F1094" s="1" t="s">
        <v>151</v>
      </c>
      <c r="G1094" s="1" t="str">
        <f>"10784350158"</f>
        <v>10784350158</v>
      </c>
      <c r="I1094" s="1" t="s">
        <v>1288</v>
      </c>
      <c r="L1094" s="1" t="s">
        <v>43</v>
      </c>
      <c r="M1094" s="1">
        <v>63900</v>
      </c>
      <c r="AG1094" s="1">
        <v>0</v>
      </c>
      <c r="AH1094" s="2">
        <v>45209</v>
      </c>
      <c r="AI1094" s="2">
        <v>45291</v>
      </c>
      <c r="AJ1094" s="2">
        <v>45209</v>
      </c>
    </row>
    <row r="1095" spans="1:36">
      <c r="A1095" s="1" t="str">
        <f>"A013D3A96D"</f>
        <v>A013D3A96D</v>
      </c>
      <c r="B1095" s="1" t="str">
        <f t="shared" si="23"/>
        <v>02406911202</v>
      </c>
      <c r="C1095" s="1" t="s">
        <v>13</v>
      </c>
      <c r="D1095" s="1" t="s">
        <v>167</v>
      </c>
      <c r="E1095" s="1" t="s">
        <v>1290</v>
      </c>
      <c r="F1095" s="1" t="s">
        <v>151</v>
      </c>
      <c r="G1095" s="1" t="str">
        <f>"12730090151"</f>
        <v>12730090151</v>
      </c>
      <c r="I1095" s="1" t="s">
        <v>1291</v>
      </c>
      <c r="L1095" s="1" t="s">
        <v>43</v>
      </c>
      <c r="M1095" s="1">
        <v>1100000</v>
      </c>
      <c r="AG1095" s="1">
        <v>101939.71</v>
      </c>
      <c r="AH1095" s="2">
        <v>45200</v>
      </c>
      <c r="AI1095" s="2">
        <v>45382</v>
      </c>
      <c r="AJ1095" s="2">
        <v>45200</v>
      </c>
    </row>
    <row r="1096" spans="1:36">
      <c r="A1096" s="1" t="str">
        <f>"A0140FB27A"</f>
        <v>A0140FB27A</v>
      </c>
      <c r="B1096" s="1" t="str">
        <f t="shared" si="23"/>
        <v>02406911202</v>
      </c>
      <c r="C1096" s="1" t="s">
        <v>13</v>
      </c>
      <c r="D1096" s="1" t="s">
        <v>167</v>
      </c>
      <c r="E1096" s="1" t="s">
        <v>1292</v>
      </c>
      <c r="F1096" s="1" t="s">
        <v>39</v>
      </c>
      <c r="G1096" s="1" t="str">
        <f>"07195130153"</f>
        <v>07195130153</v>
      </c>
      <c r="I1096" s="1" t="s">
        <v>143</v>
      </c>
      <c r="L1096" s="1" t="s">
        <v>43</v>
      </c>
      <c r="M1096" s="1">
        <v>199930.58</v>
      </c>
      <c r="AG1096" s="1">
        <v>15030</v>
      </c>
      <c r="AH1096" s="2">
        <v>45194</v>
      </c>
      <c r="AI1096" s="2">
        <v>45565</v>
      </c>
      <c r="AJ1096" s="2">
        <v>45194</v>
      </c>
    </row>
    <row r="1097" spans="1:36">
      <c r="A1097" s="1" t="str">
        <f>"A014134184"</f>
        <v>A014134184</v>
      </c>
      <c r="B1097" s="1" t="str">
        <f t="shared" si="23"/>
        <v>02406911202</v>
      </c>
      <c r="C1097" s="1" t="s">
        <v>13</v>
      </c>
      <c r="D1097" s="1" t="s">
        <v>167</v>
      </c>
      <c r="E1097" s="1" t="s">
        <v>1293</v>
      </c>
      <c r="F1097" s="1" t="s">
        <v>39</v>
      </c>
      <c r="G1097" s="1" t="str">
        <f>"00399800580"</f>
        <v>00399800580</v>
      </c>
      <c r="I1097" s="1" t="s">
        <v>145</v>
      </c>
      <c r="L1097" s="1" t="s">
        <v>43</v>
      </c>
      <c r="M1097" s="1">
        <v>99966</v>
      </c>
      <c r="AG1097" s="1">
        <v>0</v>
      </c>
      <c r="AH1097" s="2">
        <v>45194</v>
      </c>
      <c r="AI1097" s="2">
        <v>45565</v>
      </c>
      <c r="AJ1097" s="2">
        <v>45194</v>
      </c>
    </row>
    <row r="1098" spans="1:36">
      <c r="A1098" s="1" t="str">
        <f>"A015C8D2EC"</f>
        <v>A015C8D2EC</v>
      </c>
      <c r="B1098" s="1" t="str">
        <f t="shared" si="23"/>
        <v>02406911202</v>
      </c>
      <c r="C1098" s="1" t="s">
        <v>13</v>
      </c>
      <c r="D1098" s="1" t="s">
        <v>167</v>
      </c>
      <c r="E1098" s="1" t="s">
        <v>1294</v>
      </c>
      <c r="F1098" s="1" t="s">
        <v>151</v>
      </c>
      <c r="G1098" s="1" t="str">
        <f>"10618220965"</f>
        <v>10618220965</v>
      </c>
      <c r="I1098" s="1" t="s">
        <v>1295</v>
      </c>
      <c r="L1098" s="1" t="s">
        <v>43</v>
      </c>
      <c r="M1098" s="1">
        <v>44628.82</v>
      </c>
      <c r="AG1098" s="1">
        <v>8787.2000000000007</v>
      </c>
      <c r="AH1098" s="2">
        <v>45198</v>
      </c>
      <c r="AI1098" s="2">
        <v>45626</v>
      </c>
      <c r="AJ1098" s="2">
        <v>45198</v>
      </c>
    </row>
    <row r="1099" spans="1:36">
      <c r="A1099" s="1" t="str">
        <f>"A016EFC928"</f>
        <v>A016EFC928</v>
      </c>
      <c r="B1099" s="1" t="str">
        <f t="shared" si="23"/>
        <v>02406911202</v>
      </c>
      <c r="C1099" s="1" t="s">
        <v>13</v>
      </c>
      <c r="D1099" s="1" t="s">
        <v>167</v>
      </c>
      <c r="E1099" s="1" t="s">
        <v>1296</v>
      </c>
      <c r="F1099" s="1" t="s">
        <v>39</v>
      </c>
      <c r="G1099" s="1" t="str">
        <f>"02333890289"</f>
        <v>02333890289</v>
      </c>
      <c r="I1099" s="1" t="s">
        <v>1297</v>
      </c>
      <c r="L1099" s="1" t="s">
        <v>43</v>
      </c>
      <c r="M1099" s="1">
        <v>400000</v>
      </c>
      <c r="AG1099" s="1">
        <v>1952.42</v>
      </c>
      <c r="AH1099" s="2">
        <v>45200</v>
      </c>
      <c r="AI1099" s="2">
        <v>45565</v>
      </c>
      <c r="AJ1099" s="2">
        <v>45200</v>
      </c>
    </row>
    <row r="1100" spans="1:36">
      <c r="A1100" s="1" t="str">
        <f>"A0175D609D"</f>
        <v>A0175D609D</v>
      </c>
      <c r="B1100" s="1" t="str">
        <f t="shared" si="23"/>
        <v>02406911202</v>
      </c>
      <c r="C1100" s="1" t="s">
        <v>13</v>
      </c>
      <c r="D1100" s="1" t="s">
        <v>167</v>
      </c>
      <c r="E1100" s="1" t="s">
        <v>1298</v>
      </c>
      <c r="F1100" s="1" t="s">
        <v>151</v>
      </c>
      <c r="G1100" s="1" t="str">
        <f>"07077990013"</f>
        <v>07077990013</v>
      </c>
      <c r="I1100" s="1" t="s">
        <v>554</v>
      </c>
      <c r="L1100" s="1" t="s">
        <v>43</v>
      </c>
      <c r="M1100" s="1">
        <v>93612</v>
      </c>
      <c r="AG1100" s="1">
        <v>0</v>
      </c>
      <c r="AH1100" s="2">
        <v>45204</v>
      </c>
      <c r="AI1100" s="2">
        <v>45751</v>
      </c>
      <c r="AJ1100" s="2">
        <v>45204</v>
      </c>
    </row>
    <row r="1101" spans="1:36">
      <c r="A1101" s="1" t="str">
        <f>"A01783230C"</f>
        <v>A01783230C</v>
      </c>
      <c r="B1101" s="1" t="str">
        <f t="shared" si="23"/>
        <v>02406911202</v>
      </c>
      <c r="C1101" s="1" t="s">
        <v>13</v>
      </c>
      <c r="D1101" s="1" t="s">
        <v>167</v>
      </c>
      <c r="E1101" s="1" t="s">
        <v>1299</v>
      </c>
      <c r="F1101" s="1" t="s">
        <v>151</v>
      </c>
      <c r="G1101" s="1" t="str">
        <f>"11206730159"</f>
        <v>11206730159</v>
      </c>
      <c r="I1101" s="1" t="s">
        <v>68</v>
      </c>
      <c r="L1101" s="1" t="s">
        <v>43</v>
      </c>
      <c r="M1101" s="1">
        <v>360055</v>
      </c>
      <c r="AG1101" s="1">
        <v>0</v>
      </c>
      <c r="AH1101" s="2">
        <v>45209</v>
      </c>
      <c r="AI1101" s="2">
        <v>46304</v>
      </c>
      <c r="AJ1101" s="2">
        <v>45209</v>
      </c>
    </row>
    <row r="1102" spans="1:36">
      <c r="A1102" s="1" t="str">
        <f>"A01792AFB0"</f>
        <v>A01792AFB0</v>
      </c>
      <c r="B1102" s="1" t="str">
        <f t="shared" si="23"/>
        <v>02406911202</v>
      </c>
      <c r="C1102" s="1" t="s">
        <v>13</v>
      </c>
      <c r="D1102" s="1" t="s">
        <v>167</v>
      </c>
      <c r="E1102" s="1" t="s">
        <v>1300</v>
      </c>
      <c r="F1102" s="1" t="s">
        <v>151</v>
      </c>
      <c r="G1102" s="1" t="str">
        <f>"11264670156"</f>
        <v>11264670156</v>
      </c>
      <c r="I1102" s="1" t="s">
        <v>66</v>
      </c>
      <c r="L1102" s="1" t="s">
        <v>43</v>
      </c>
      <c r="M1102" s="1">
        <v>360055</v>
      </c>
      <c r="AG1102" s="1">
        <v>0</v>
      </c>
      <c r="AH1102" s="2">
        <v>45209</v>
      </c>
      <c r="AI1102" s="2">
        <v>46304</v>
      </c>
      <c r="AJ1102" s="2">
        <v>45209</v>
      </c>
    </row>
    <row r="1103" spans="1:36">
      <c r="A1103" s="1" t="str">
        <f>"A017966138"</f>
        <v>A017966138</v>
      </c>
      <c r="B1103" s="1" t="str">
        <f t="shared" si="23"/>
        <v>02406911202</v>
      </c>
      <c r="C1103" s="1" t="s">
        <v>13</v>
      </c>
      <c r="D1103" s="1" t="s">
        <v>167</v>
      </c>
      <c r="E1103" s="1" t="s">
        <v>1300</v>
      </c>
      <c r="F1103" s="1" t="s">
        <v>151</v>
      </c>
      <c r="G1103" s="1" t="str">
        <f>"09238800156"</f>
        <v>09238800156</v>
      </c>
      <c r="I1103" s="1" t="s">
        <v>92</v>
      </c>
      <c r="L1103" s="1" t="s">
        <v>43</v>
      </c>
      <c r="M1103" s="1">
        <v>360055</v>
      </c>
      <c r="AG1103" s="1">
        <v>0</v>
      </c>
      <c r="AH1103" s="2">
        <v>45209</v>
      </c>
      <c r="AI1103" s="2">
        <v>46304</v>
      </c>
      <c r="AJ1103" s="2">
        <v>45209</v>
      </c>
    </row>
    <row r="1104" spans="1:36">
      <c r="A1104" s="1" t="str">
        <f>"A017A0439A"</f>
        <v>A017A0439A</v>
      </c>
      <c r="B1104" s="1" t="str">
        <f t="shared" si="23"/>
        <v>02406911202</v>
      </c>
      <c r="C1104" s="1" t="s">
        <v>13</v>
      </c>
      <c r="D1104" s="1" t="s">
        <v>167</v>
      </c>
      <c r="E1104" s="1" t="s">
        <v>1300</v>
      </c>
      <c r="F1104" s="1" t="s">
        <v>151</v>
      </c>
      <c r="G1104" s="1" t="str">
        <f>"11206730159"</f>
        <v>11206730159</v>
      </c>
      <c r="I1104" s="1" t="s">
        <v>68</v>
      </c>
      <c r="L1104" s="1" t="s">
        <v>43</v>
      </c>
      <c r="M1104" s="1">
        <v>240085</v>
      </c>
      <c r="AG1104" s="1">
        <v>0</v>
      </c>
      <c r="AH1104" s="2">
        <v>45209</v>
      </c>
      <c r="AI1104" s="2">
        <v>46304</v>
      </c>
      <c r="AJ1104" s="2">
        <v>45209</v>
      </c>
    </row>
    <row r="1105" spans="1:36">
      <c r="A1105" s="1" t="str">
        <f>"A017AD9360"</f>
        <v>A017AD9360</v>
      </c>
      <c r="B1105" s="1" t="str">
        <f t="shared" si="23"/>
        <v>02406911202</v>
      </c>
      <c r="C1105" s="1" t="s">
        <v>13</v>
      </c>
      <c r="D1105" s="1" t="s">
        <v>167</v>
      </c>
      <c r="E1105" s="1" t="s">
        <v>1301</v>
      </c>
      <c r="F1105" s="1" t="s">
        <v>151</v>
      </c>
      <c r="G1105" s="1" t="str">
        <f>"02152610784"</f>
        <v>02152610784</v>
      </c>
      <c r="I1105" s="1" t="s">
        <v>1024</v>
      </c>
      <c r="L1105" s="1" t="s">
        <v>43</v>
      </c>
      <c r="M1105" s="1">
        <v>21662.85</v>
      </c>
      <c r="AG1105" s="1">
        <v>0</v>
      </c>
      <c r="AH1105" s="2">
        <v>45200</v>
      </c>
      <c r="AI1105" s="2">
        <v>45322</v>
      </c>
      <c r="AJ1105" s="2">
        <v>45200</v>
      </c>
    </row>
    <row r="1106" spans="1:36">
      <c r="A1106" s="1" t="str">
        <f>"A017B046DB"</f>
        <v>A017B046DB</v>
      </c>
      <c r="B1106" s="1" t="str">
        <f t="shared" si="23"/>
        <v>02406911202</v>
      </c>
      <c r="C1106" s="1" t="s">
        <v>13</v>
      </c>
      <c r="D1106" s="1" t="s">
        <v>167</v>
      </c>
      <c r="E1106" s="1" t="s">
        <v>1301</v>
      </c>
      <c r="F1106" s="1" t="s">
        <v>151</v>
      </c>
      <c r="G1106" s="1" t="str">
        <f>"00397360488"</f>
        <v>00397360488</v>
      </c>
      <c r="I1106" s="1" t="s">
        <v>1025</v>
      </c>
      <c r="L1106" s="1" t="s">
        <v>43</v>
      </c>
      <c r="M1106" s="1">
        <v>6550.8</v>
      </c>
      <c r="AG1106" s="1">
        <v>0</v>
      </c>
      <c r="AH1106" s="2">
        <v>45200</v>
      </c>
      <c r="AI1106" s="2">
        <v>45291</v>
      </c>
      <c r="AJ1106" s="2">
        <v>45200</v>
      </c>
    </row>
    <row r="1107" spans="1:36">
      <c r="A1107" s="1" t="str">
        <f>"A017B1875C"</f>
        <v>A017B1875C</v>
      </c>
      <c r="B1107" s="1" t="str">
        <f t="shared" si="23"/>
        <v>02406911202</v>
      </c>
      <c r="C1107" s="1" t="s">
        <v>13</v>
      </c>
      <c r="D1107" s="1" t="s">
        <v>167</v>
      </c>
      <c r="E1107" s="1" t="s">
        <v>1301</v>
      </c>
      <c r="F1107" s="1" t="s">
        <v>151</v>
      </c>
      <c r="G1107" s="1" t="str">
        <f>"12300580151"</f>
        <v>12300580151</v>
      </c>
      <c r="I1107" s="1" t="s">
        <v>297</v>
      </c>
      <c r="L1107" s="1" t="s">
        <v>43</v>
      </c>
      <c r="M1107" s="1">
        <v>263103.13</v>
      </c>
      <c r="AG1107" s="1">
        <v>0</v>
      </c>
      <c r="AH1107" s="2">
        <v>45200</v>
      </c>
      <c r="AI1107" s="2">
        <v>45322</v>
      </c>
      <c r="AJ1107" s="2">
        <v>45200</v>
      </c>
    </row>
    <row r="1108" spans="1:36">
      <c r="A1108" s="1" t="str">
        <f>"A017B35F48"</f>
        <v>A017B35F48</v>
      </c>
      <c r="B1108" s="1" t="str">
        <f t="shared" si="23"/>
        <v>02406911202</v>
      </c>
      <c r="C1108" s="1" t="s">
        <v>13</v>
      </c>
      <c r="D1108" s="1" t="s">
        <v>167</v>
      </c>
      <c r="E1108" s="1" t="s">
        <v>1301</v>
      </c>
      <c r="F1108" s="1" t="s">
        <v>151</v>
      </c>
      <c r="G1108" s="1" t="str">
        <f>"07179150151"</f>
        <v>07179150151</v>
      </c>
      <c r="I1108" s="1" t="s">
        <v>862</v>
      </c>
      <c r="L1108" s="1" t="s">
        <v>43</v>
      </c>
      <c r="M1108" s="1">
        <v>26703.65</v>
      </c>
      <c r="AG1108" s="1">
        <v>3388</v>
      </c>
      <c r="AH1108" s="2">
        <v>45200</v>
      </c>
      <c r="AI1108" s="2">
        <v>45322</v>
      </c>
      <c r="AJ1108" s="2">
        <v>45200</v>
      </c>
    </row>
    <row r="1109" spans="1:36">
      <c r="A1109" s="1" t="str">
        <f>"A017C341BB"</f>
        <v>A017C341BB</v>
      </c>
      <c r="B1109" s="1" t="str">
        <f t="shared" si="23"/>
        <v>02406911202</v>
      </c>
      <c r="C1109" s="1" t="s">
        <v>13</v>
      </c>
      <c r="D1109" s="1" t="s">
        <v>167</v>
      </c>
      <c r="E1109" s="1" t="s">
        <v>1302</v>
      </c>
      <c r="F1109" s="1" t="s">
        <v>151</v>
      </c>
      <c r="G1109" s="1" t="str">
        <f>"01140030360"</f>
        <v>01140030360</v>
      </c>
      <c r="I1109" s="1" t="s">
        <v>111</v>
      </c>
      <c r="L1109" s="1" t="s">
        <v>43</v>
      </c>
      <c r="M1109" s="1">
        <v>41975.199999999997</v>
      </c>
      <c r="AG1109" s="1">
        <v>5879.5</v>
      </c>
      <c r="AH1109" s="2">
        <v>45200</v>
      </c>
      <c r="AI1109" s="2">
        <v>45382</v>
      </c>
      <c r="AJ1109" s="2">
        <v>45200</v>
      </c>
    </row>
    <row r="1110" spans="1:36">
      <c r="A1110" s="1" t="str">
        <f>"A017C3E9F9"</f>
        <v>A017C3E9F9</v>
      </c>
      <c r="B1110" s="1" t="str">
        <f t="shared" si="23"/>
        <v>02406911202</v>
      </c>
      <c r="C1110" s="1" t="s">
        <v>13</v>
      </c>
      <c r="D1110" s="1" t="s">
        <v>167</v>
      </c>
      <c r="E1110" s="1" t="s">
        <v>1302</v>
      </c>
      <c r="F1110" s="1" t="s">
        <v>151</v>
      </c>
      <c r="G1110" s="1" t="str">
        <f>"11206730159"</f>
        <v>11206730159</v>
      </c>
      <c r="I1110" s="1" t="s">
        <v>68</v>
      </c>
      <c r="L1110" s="1" t="s">
        <v>43</v>
      </c>
      <c r="M1110" s="1">
        <v>56080</v>
      </c>
      <c r="AG1110" s="1">
        <v>0</v>
      </c>
      <c r="AH1110" s="2">
        <v>45200</v>
      </c>
      <c r="AI1110" s="2">
        <v>45382</v>
      </c>
      <c r="AJ1110" s="2">
        <v>45200</v>
      </c>
    </row>
    <row r="1111" spans="1:36">
      <c r="A1111" s="1" t="str">
        <f>"A017C6BF1A"</f>
        <v>A017C6BF1A</v>
      </c>
      <c r="B1111" s="1" t="str">
        <f t="shared" si="23"/>
        <v>02406911202</v>
      </c>
      <c r="C1111" s="1" t="s">
        <v>13</v>
      </c>
      <c r="D1111" s="1" t="s">
        <v>167</v>
      </c>
      <c r="E1111" s="1" t="s">
        <v>1300</v>
      </c>
      <c r="F1111" s="1" t="s">
        <v>151</v>
      </c>
      <c r="G1111" s="1" t="str">
        <f>"02606120349"</f>
        <v>02606120349</v>
      </c>
      <c r="I1111" s="1" t="s">
        <v>184</v>
      </c>
      <c r="L1111" s="1" t="s">
        <v>43</v>
      </c>
      <c r="M1111" s="1">
        <v>240085</v>
      </c>
      <c r="AG1111" s="1">
        <v>1620</v>
      </c>
      <c r="AH1111" s="2">
        <v>45209</v>
      </c>
      <c r="AI1111" s="2">
        <v>46304</v>
      </c>
      <c r="AJ1111" s="2">
        <v>45209</v>
      </c>
    </row>
    <row r="1112" spans="1:36">
      <c r="A1112" s="1" t="str">
        <f>"A017C7EEC8"</f>
        <v>A017C7EEC8</v>
      </c>
      <c r="B1112" s="1" t="str">
        <f t="shared" si="23"/>
        <v>02406911202</v>
      </c>
      <c r="C1112" s="1" t="s">
        <v>13</v>
      </c>
      <c r="D1112" s="1" t="s">
        <v>167</v>
      </c>
      <c r="E1112" s="1" t="s">
        <v>1300</v>
      </c>
      <c r="F1112" s="1" t="s">
        <v>151</v>
      </c>
      <c r="G1112" s="1" t="str">
        <f>"09238800156"</f>
        <v>09238800156</v>
      </c>
      <c r="I1112" s="1" t="s">
        <v>92</v>
      </c>
      <c r="L1112" s="1" t="s">
        <v>43</v>
      </c>
      <c r="M1112" s="1">
        <v>240085</v>
      </c>
      <c r="AG1112" s="1">
        <v>0</v>
      </c>
      <c r="AH1112" s="2">
        <v>45209</v>
      </c>
      <c r="AI1112" s="2">
        <v>46304</v>
      </c>
      <c r="AJ1112" s="2">
        <v>45209</v>
      </c>
    </row>
    <row r="1113" spans="1:36">
      <c r="A1113" s="1" t="str">
        <f>"A017CC1615"</f>
        <v>A017CC1615</v>
      </c>
      <c r="B1113" s="1" t="str">
        <f t="shared" si="23"/>
        <v>02406911202</v>
      </c>
      <c r="C1113" s="1" t="s">
        <v>13</v>
      </c>
      <c r="D1113" s="1" t="s">
        <v>167</v>
      </c>
      <c r="E1113" s="1" t="s">
        <v>1300</v>
      </c>
      <c r="F1113" s="1" t="s">
        <v>151</v>
      </c>
      <c r="G1113" s="1" t="str">
        <f>"11206730159"</f>
        <v>11206730159</v>
      </c>
      <c r="I1113" s="1" t="s">
        <v>68</v>
      </c>
      <c r="L1113" s="1" t="s">
        <v>43</v>
      </c>
      <c r="M1113" s="1">
        <v>555100</v>
      </c>
      <c r="AG1113" s="1">
        <v>0</v>
      </c>
      <c r="AH1113" s="2">
        <v>45209</v>
      </c>
      <c r="AI1113" s="2">
        <v>46304</v>
      </c>
      <c r="AJ1113" s="2">
        <v>45209</v>
      </c>
    </row>
    <row r="1114" spans="1:36">
      <c r="A1114" s="1" t="str">
        <f>"A017CCF1A4"</f>
        <v>A017CCF1A4</v>
      </c>
      <c r="B1114" s="1" t="str">
        <f t="shared" si="23"/>
        <v>02406911202</v>
      </c>
      <c r="C1114" s="1" t="s">
        <v>13</v>
      </c>
      <c r="D1114" s="1" t="s">
        <v>167</v>
      </c>
      <c r="E1114" s="1" t="s">
        <v>1300</v>
      </c>
      <c r="F1114" s="1" t="s">
        <v>151</v>
      </c>
      <c r="G1114" s="1" t="str">
        <f>"09238800156"</f>
        <v>09238800156</v>
      </c>
      <c r="I1114" s="1" t="s">
        <v>92</v>
      </c>
      <c r="L1114" s="1" t="s">
        <v>43</v>
      </c>
      <c r="M1114" s="1">
        <v>555100</v>
      </c>
      <c r="AG1114" s="1">
        <v>0</v>
      </c>
      <c r="AH1114" s="2">
        <v>45209</v>
      </c>
      <c r="AI1114" s="2">
        <v>46304</v>
      </c>
      <c r="AJ1114" s="2">
        <v>45209</v>
      </c>
    </row>
    <row r="1115" spans="1:36">
      <c r="A1115" s="1" t="str">
        <f>"A017CD6769"</f>
        <v>A017CD6769</v>
      </c>
      <c r="B1115" s="1" t="str">
        <f t="shared" si="23"/>
        <v>02406911202</v>
      </c>
      <c r="C1115" s="1" t="s">
        <v>13</v>
      </c>
      <c r="D1115" s="1" t="s">
        <v>167</v>
      </c>
      <c r="E1115" s="1" t="s">
        <v>1300</v>
      </c>
      <c r="F1115" s="1" t="s">
        <v>151</v>
      </c>
      <c r="G1115" s="1" t="str">
        <f>"02606120349"</f>
        <v>02606120349</v>
      </c>
      <c r="I1115" s="1" t="s">
        <v>184</v>
      </c>
      <c r="L1115" s="1" t="s">
        <v>43</v>
      </c>
      <c r="M1115" s="1">
        <v>555100</v>
      </c>
      <c r="AG1115" s="1">
        <v>0</v>
      </c>
      <c r="AH1115" s="2">
        <v>45209</v>
      </c>
      <c r="AI1115" s="2">
        <v>46304</v>
      </c>
      <c r="AJ1115" s="2">
        <v>45209</v>
      </c>
    </row>
    <row r="1116" spans="1:36">
      <c r="A1116" s="1" t="str">
        <f>"A017CE107F"</f>
        <v>A017CE107F</v>
      </c>
      <c r="B1116" s="1" t="str">
        <f t="shared" si="23"/>
        <v>02406911202</v>
      </c>
      <c r="C1116" s="1" t="s">
        <v>13</v>
      </c>
      <c r="D1116" s="1" t="s">
        <v>167</v>
      </c>
      <c r="E1116" s="1" t="s">
        <v>1303</v>
      </c>
      <c r="F1116" s="1" t="s">
        <v>151</v>
      </c>
      <c r="G1116" s="1" t="str">
        <f>"11264670156"</f>
        <v>11264670156</v>
      </c>
      <c r="I1116" s="1" t="s">
        <v>66</v>
      </c>
      <c r="L1116" s="1" t="s">
        <v>43</v>
      </c>
      <c r="M1116" s="1">
        <v>138250</v>
      </c>
      <c r="AG1116" s="1">
        <v>0</v>
      </c>
      <c r="AH1116" s="2">
        <v>45209</v>
      </c>
      <c r="AI1116" s="2">
        <v>46304</v>
      </c>
      <c r="AJ1116" s="2">
        <v>45209</v>
      </c>
    </row>
    <row r="1117" spans="1:36">
      <c r="A1117" s="1" t="str">
        <f>"A017CF0CDC"</f>
        <v>A017CF0CDC</v>
      </c>
      <c r="B1117" s="1" t="str">
        <f t="shared" si="23"/>
        <v>02406911202</v>
      </c>
      <c r="C1117" s="1" t="s">
        <v>13</v>
      </c>
      <c r="D1117" s="1" t="s">
        <v>167</v>
      </c>
      <c r="E1117" s="1" t="s">
        <v>1300</v>
      </c>
      <c r="F1117" s="1" t="s">
        <v>151</v>
      </c>
      <c r="G1117" s="1" t="str">
        <f>"03638130280"</f>
        <v>03638130280</v>
      </c>
      <c r="I1117" s="1" t="s">
        <v>1304</v>
      </c>
      <c r="L1117" s="1" t="s">
        <v>43</v>
      </c>
      <c r="M1117" s="1">
        <v>233200</v>
      </c>
      <c r="AG1117" s="1">
        <v>0</v>
      </c>
      <c r="AH1117" s="2">
        <v>45209</v>
      </c>
      <c r="AI1117" s="2">
        <v>46304</v>
      </c>
      <c r="AJ1117" s="2">
        <v>45209</v>
      </c>
    </row>
    <row r="1118" spans="1:36">
      <c r="A1118" s="1" t="str">
        <f>"A0180FE574"</f>
        <v>A0180FE574</v>
      </c>
      <c r="B1118" s="1" t="str">
        <f t="shared" si="23"/>
        <v>02406911202</v>
      </c>
      <c r="C1118" s="1" t="s">
        <v>13</v>
      </c>
      <c r="D1118" s="1" t="s">
        <v>167</v>
      </c>
      <c r="E1118" s="1" t="s">
        <v>1305</v>
      </c>
      <c r="F1118" s="1" t="s">
        <v>39</v>
      </c>
      <c r="G1118" s="1" t="str">
        <f>"09435590154"</f>
        <v>09435590154</v>
      </c>
      <c r="I1118" s="1" t="s">
        <v>1306</v>
      </c>
      <c r="L1118" s="1" t="s">
        <v>43</v>
      </c>
      <c r="M1118" s="1">
        <v>48902</v>
      </c>
      <c r="AG1118" s="1">
        <v>0</v>
      </c>
      <c r="AH1118" s="2">
        <v>45260</v>
      </c>
      <c r="AI1118" s="2">
        <v>45382</v>
      </c>
      <c r="AJ1118" s="2">
        <v>45260</v>
      </c>
    </row>
    <row r="1119" spans="1:36">
      <c r="A1119" s="1" t="str">
        <f>"A0189535A9"</f>
        <v>A0189535A9</v>
      </c>
      <c r="B1119" s="1" t="str">
        <f t="shared" si="23"/>
        <v>02406911202</v>
      </c>
      <c r="C1119" s="1" t="s">
        <v>13</v>
      </c>
      <c r="D1119" s="1" t="s">
        <v>167</v>
      </c>
      <c r="E1119" s="1" t="s">
        <v>1307</v>
      </c>
      <c r="F1119" s="1" t="s">
        <v>39</v>
      </c>
      <c r="G1119" s="1" t="str">
        <f>"03653370282"</f>
        <v>03653370282</v>
      </c>
      <c r="I1119" s="1" t="s">
        <v>1308</v>
      </c>
      <c r="L1119" s="1" t="s">
        <v>43</v>
      </c>
      <c r="M1119" s="1">
        <v>247254</v>
      </c>
      <c r="AG1119" s="1">
        <v>1215</v>
      </c>
      <c r="AH1119" s="2">
        <v>45214</v>
      </c>
      <c r="AI1119" s="2">
        <v>45944</v>
      </c>
      <c r="AJ1119" s="2">
        <v>45214</v>
      </c>
    </row>
    <row r="1120" spans="1:36">
      <c r="A1120" s="1" t="str">
        <f>"A018FEA5D1"</f>
        <v>A018FEA5D1</v>
      </c>
      <c r="B1120" s="1" t="str">
        <f t="shared" si="23"/>
        <v>02406911202</v>
      </c>
      <c r="C1120" s="1" t="s">
        <v>13</v>
      </c>
      <c r="D1120" s="1" t="s">
        <v>167</v>
      </c>
      <c r="E1120" s="1" t="s">
        <v>1309</v>
      </c>
      <c r="F1120" s="1" t="s">
        <v>151</v>
      </c>
      <c r="H1120" s="1" t="str">
        <f>"152434145"</f>
        <v>152434145</v>
      </c>
      <c r="I1120" s="1" t="s">
        <v>514</v>
      </c>
      <c r="L1120" s="1" t="s">
        <v>43</v>
      </c>
      <c r="M1120" s="1">
        <v>43860</v>
      </c>
      <c r="AG1120" s="1">
        <v>2244</v>
      </c>
      <c r="AH1120" s="2">
        <v>45215</v>
      </c>
      <c r="AI1120" s="2">
        <v>45945</v>
      </c>
      <c r="AJ1120" s="2">
        <v>45215</v>
      </c>
    </row>
    <row r="1121" spans="1:36">
      <c r="A1121" s="1" t="str">
        <f>"A019D752E1"</f>
        <v>A019D752E1</v>
      </c>
      <c r="B1121" s="1" t="str">
        <f t="shared" si="23"/>
        <v>02406911202</v>
      </c>
      <c r="C1121" s="1" t="s">
        <v>13</v>
      </c>
      <c r="D1121" s="1" t="s">
        <v>167</v>
      </c>
      <c r="E1121" s="1" t="s">
        <v>1310</v>
      </c>
      <c r="F1121" s="1" t="s">
        <v>39</v>
      </c>
      <c r="G1121" s="1" t="str">
        <f>"02737030151"</f>
        <v>02737030151</v>
      </c>
      <c r="I1121" s="1" t="s">
        <v>629</v>
      </c>
      <c r="L1121" s="1" t="s">
        <v>43</v>
      </c>
      <c r="M1121" s="1">
        <v>54085.9</v>
      </c>
      <c r="AG1121" s="1">
        <v>0</v>
      </c>
      <c r="AH1121" s="2">
        <v>45275</v>
      </c>
      <c r="AI1121" s="2">
        <v>45291</v>
      </c>
      <c r="AJ1121" s="2">
        <v>45275</v>
      </c>
    </row>
    <row r="1122" spans="1:36">
      <c r="A1122" s="1" t="str">
        <f>"A019D8D6AE"</f>
        <v>A019D8D6AE</v>
      </c>
      <c r="B1122" s="1" t="str">
        <f t="shared" si="23"/>
        <v>02406911202</v>
      </c>
      <c r="C1122" s="1" t="s">
        <v>13</v>
      </c>
      <c r="D1122" s="1" t="s">
        <v>167</v>
      </c>
      <c r="E1122" s="1" t="s">
        <v>1311</v>
      </c>
      <c r="F1122" s="1" t="s">
        <v>39</v>
      </c>
      <c r="G1122" s="1" t="str">
        <f>"02737030151"</f>
        <v>02737030151</v>
      </c>
      <c r="I1122" s="1" t="s">
        <v>629</v>
      </c>
      <c r="L1122" s="1" t="s">
        <v>43</v>
      </c>
      <c r="M1122" s="1">
        <v>44704</v>
      </c>
      <c r="AG1122" s="1">
        <v>0</v>
      </c>
      <c r="AH1122" s="2">
        <v>45274</v>
      </c>
      <c r="AI1122" s="2">
        <v>45291</v>
      </c>
      <c r="AJ1122" s="2">
        <v>45274</v>
      </c>
    </row>
    <row r="1123" spans="1:36">
      <c r="A1123" s="1" t="str">
        <f>"A019DAE1EB"</f>
        <v>A019DAE1EB</v>
      </c>
      <c r="B1123" s="1" t="str">
        <f t="shared" si="23"/>
        <v>02406911202</v>
      </c>
      <c r="C1123" s="1" t="s">
        <v>13</v>
      </c>
      <c r="D1123" s="1" t="s">
        <v>167</v>
      </c>
      <c r="E1123" s="1" t="s">
        <v>1312</v>
      </c>
      <c r="F1123" s="1" t="s">
        <v>39</v>
      </c>
      <c r="G1123" s="1" t="str">
        <f>"03524050238"</f>
        <v>03524050238</v>
      </c>
      <c r="I1123" s="1" t="s">
        <v>171</v>
      </c>
      <c r="L1123" s="1" t="s">
        <v>43</v>
      </c>
      <c r="M1123" s="1">
        <v>21950</v>
      </c>
      <c r="AG1123" s="1">
        <v>0</v>
      </c>
      <c r="AH1123" s="2">
        <v>45274</v>
      </c>
      <c r="AI1123" s="2">
        <v>45291</v>
      </c>
      <c r="AJ1123" s="2">
        <v>45274</v>
      </c>
    </row>
    <row r="1124" spans="1:36">
      <c r="A1124" s="1" t="str">
        <f>"A019E0F1F7"</f>
        <v>A019E0F1F7</v>
      </c>
      <c r="B1124" s="1" t="str">
        <f t="shared" si="23"/>
        <v>02406911202</v>
      </c>
      <c r="C1124" s="1" t="s">
        <v>13</v>
      </c>
      <c r="D1124" s="1" t="s">
        <v>167</v>
      </c>
      <c r="E1124" s="1" t="s">
        <v>1313</v>
      </c>
      <c r="F1124" s="1" t="s">
        <v>132</v>
      </c>
      <c r="G1124" s="1" t="str">
        <f>"07869740584"</f>
        <v>07869740584</v>
      </c>
      <c r="I1124" s="1" t="s">
        <v>1314</v>
      </c>
      <c r="L1124" s="1" t="s">
        <v>43</v>
      </c>
      <c r="M1124" s="1">
        <v>64545.75</v>
      </c>
      <c r="AG1124" s="1">
        <v>0</v>
      </c>
      <c r="AH1124" s="2">
        <v>45287</v>
      </c>
      <c r="AI1124" s="2">
        <v>45657</v>
      </c>
      <c r="AJ1124" s="2">
        <v>45287</v>
      </c>
    </row>
    <row r="1125" spans="1:36">
      <c r="A1125" s="1" t="str">
        <f>"A019EE6363"</f>
        <v>A019EE6363</v>
      </c>
      <c r="B1125" s="1" t="str">
        <f t="shared" si="23"/>
        <v>02406911202</v>
      </c>
      <c r="C1125" s="1" t="s">
        <v>13</v>
      </c>
      <c r="D1125" s="1" t="s">
        <v>167</v>
      </c>
      <c r="E1125" s="1" t="s">
        <v>1315</v>
      </c>
      <c r="F1125" s="1" t="s">
        <v>151</v>
      </c>
      <c r="G1125" s="1" t="str">
        <f>"00492340583"</f>
        <v>00492340583</v>
      </c>
      <c r="I1125" s="1" t="s">
        <v>56</v>
      </c>
      <c r="L1125" s="1" t="s">
        <v>43</v>
      </c>
      <c r="M1125" s="1">
        <v>115511.6</v>
      </c>
      <c r="AG1125" s="1">
        <v>6640.4</v>
      </c>
      <c r="AH1125" s="2">
        <v>45205</v>
      </c>
      <c r="AI1125" s="2">
        <v>45565</v>
      </c>
      <c r="AJ1125" s="2">
        <v>45205</v>
      </c>
    </row>
    <row r="1126" spans="1:36">
      <c r="A1126" s="1" t="str">
        <f>"A019F224E6"</f>
        <v>A019F224E6</v>
      </c>
      <c r="B1126" s="1" t="str">
        <f t="shared" si="23"/>
        <v>02406911202</v>
      </c>
      <c r="C1126" s="1" t="s">
        <v>13</v>
      </c>
      <c r="D1126" s="1" t="s">
        <v>167</v>
      </c>
      <c r="E1126" s="1" t="s">
        <v>1315</v>
      </c>
      <c r="F1126" s="1" t="s">
        <v>151</v>
      </c>
      <c r="G1126" s="1" t="str">
        <f>"03524050238"</f>
        <v>03524050238</v>
      </c>
      <c r="I1126" s="1" t="s">
        <v>171</v>
      </c>
      <c r="L1126" s="1" t="s">
        <v>43</v>
      </c>
      <c r="M1126" s="1">
        <v>53880</v>
      </c>
      <c r="AG1126" s="1">
        <v>4128</v>
      </c>
      <c r="AH1126" s="2">
        <v>45205</v>
      </c>
      <c r="AI1126" s="2">
        <v>45565</v>
      </c>
      <c r="AJ1126" s="2">
        <v>45205</v>
      </c>
    </row>
    <row r="1127" spans="1:36">
      <c r="A1127" s="1" t="str">
        <f>"A01A269942"</f>
        <v>A01A269942</v>
      </c>
      <c r="B1127" s="1" t="str">
        <f t="shared" si="23"/>
        <v>02406911202</v>
      </c>
      <c r="C1127" s="1" t="s">
        <v>13</v>
      </c>
      <c r="D1127" s="1" t="s">
        <v>167</v>
      </c>
      <c r="E1127" s="1" t="s">
        <v>1316</v>
      </c>
      <c r="F1127" s="1" t="s">
        <v>151</v>
      </c>
      <c r="G1127" s="1" t="str">
        <f>"09012850153"</f>
        <v>09012850153</v>
      </c>
      <c r="I1127" s="1" t="s">
        <v>1317</v>
      </c>
      <c r="L1127" s="1" t="s">
        <v>43</v>
      </c>
      <c r="M1127" s="1">
        <v>444929.9</v>
      </c>
      <c r="AG1127" s="1">
        <v>0</v>
      </c>
      <c r="AH1127" s="2">
        <v>45208</v>
      </c>
      <c r="AI1127" s="2">
        <v>45938</v>
      </c>
      <c r="AJ1127" s="2">
        <v>45208</v>
      </c>
    </row>
    <row r="1128" spans="1:36">
      <c r="A1128" s="1" t="str">
        <f>"A01A58F266"</f>
        <v>A01A58F266</v>
      </c>
      <c r="B1128" s="1" t="str">
        <f t="shared" si="23"/>
        <v>02406911202</v>
      </c>
      <c r="C1128" s="1" t="s">
        <v>13</v>
      </c>
      <c r="D1128" s="1" t="s">
        <v>167</v>
      </c>
      <c r="E1128" s="1" t="s">
        <v>1318</v>
      </c>
      <c r="F1128" s="1" t="s">
        <v>39</v>
      </c>
      <c r="G1128" s="1" t="str">
        <f>"03680250283"</f>
        <v>03680250283</v>
      </c>
      <c r="I1128" s="1" t="s">
        <v>1319</v>
      </c>
      <c r="L1128" s="1" t="s">
        <v>43</v>
      </c>
      <c r="M1128" s="1">
        <v>56150</v>
      </c>
      <c r="AG1128" s="1">
        <v>0</v>
      </c>
      <c r="AH1128" s="2">
        <v>45261</v>
      </c>
      <c r="AI1128" s="2">
        <v>45626</v>
      </c>
      <c r="AJ1128" s="2">
        <v>45261</v>
      </c>
    </row>
    <row r="1129" spans="1:36">
      <c r="A1129" s="1" t="str">
        <f>"A01AE9CA70"</f>
        <v>A01AE9CA70</v>
      </c>
      <c r="B1129" s="1" t="str">
        <f t="shared" si="23"/>
        <v>02406911202</v>
      </c>
      <c r="C1129" s="1" t="s">
        <v>13</v>
      </c>
      <c r="D1129" s="1" t="s">
        <v>167</v>
      </c>
      <c r="E1129" s="1" t="s">
        <v>1320</v>
      </c>
      <c r="F1129" s="1" t="s">
        <v>39</v>
      </c>
      <c r="G1129" s="1" t="str">
        <f>"10994940152"</f>
        <v>10994940152</v>
      </c>
      <c r="I1129" s="1" t="s">
        <v>209</v>
      </c>
      <c r="L1129" s="1" t="s">
        <v>43</v>
      </c>
      <c r="M1129" s="1">
        <v>74906.48</v>
      </c>
      <c r="AG1129" s="1">
        <v>0</v>
      </c>
      <c r="AH1129" s="2">
        <v>45278</v>
      </c>
      <c r="AI1129" s="2">
        <v>45415</v>
      </c>
      <c r="AJ1129" s="2">
        <v>45278</v>
      </c>
    </row>
    <row r="1130" spans="1:36">
      <c r="A1130" s="1" t="str">
        <f>"A01BAE3C1F"</f>
        <v>A01BAE3C1F</v>
      </c>
      <c r="B1130" s="1" t="str">
        <f t="shared" si="23"/>
        <v>02406911202</v>
      </c>
      <c r="C1130" s="1" t="s">
        <v>13</v>
      </c>
      <c r="D1130" s="1" t="s">
        <v>177</v>
      </c>
      <c r="E1130" s="1" t="s">
        <v>1321</v>
      </c>
      <c r="F1130" s="1" t="s">
        <v>286</v>
      </c>
      <c r="G1130" s="1" t="str">
        <f>"00672690377"</f>
        <v>00672690377</v>
      </c>
      <c r="I1130" s="1" t="s">
        <v>179</v>
      </c>
      <c r="L1130" s="1" t="s">
        <v>43</v>
      </c>
      <c r="M1130" s="1">
        <v>442138</v>
      </c>
      <c r="AG1130" s="1">
        <v>13897.6</v>
      </c>
      <c r="AH1130" s="2">
        <v>45170</v>
      </c>
      <c r="AI1130" s="2">
        <v>46081</v>
      </c>
      <c r="AJ1130" s="2">
        <v>45170</v>
      </c>
    </row>
    <row r="1131" spans="1:36">
      <c r="A1131" s="1" t="str">
        <f>"A01BB241C6"</f>
        <v>A01BB241C6</v>
      </c>
      <c r="B1131" s="1" t="str">
        <f t="shared" si="23"/>
        <v>02406911202</v>
      </c>
      <c r="C1131" s="1" t="s">
        <v>13</v>
      </c>
      <c r="D1131" s="1" t="s">
        <v>167</v>
      </c>
      <c r="E1131" s="1" t="s">
        <v>1322</v>
      </c>
      <c r="F1131" s="1" t="s">
        <v>151</v>
      </c>
      <c r="G1131" s="1" t="str">
        <f>"01604520989"</f>
        <v>01604520989</v>
      </c>
      <c r="I1131" s="1" t="s">
        <v>1323</v>
      </c>
      <c r="L1131" s="1" t="s">
        <v>43</v>
      </c>
      <c r="M1131" s="1">
        <v>51229.599999999999</v>
      </c>
      <c r="AG1131" s="1">
        <v>0</v>
      </c>
      <c r="AH1131" s="2">
        <v>45222</v>
      </c>
      <c r="AI1131" s="2">
        <v>46601</v>
      </c>
      <c r="AJ1131" s="2">
        <v>45222</v>
      </c>
    </row>
    <row r="1132" spans="1:36">
      <c r="A1132" s="1" t="str">
        <f>"A01BB50614"</f>
        <v>A01BB50614</v>
      </c>
      <c r="B1132" s="1" t="str">
        <f t="shared" si="23"/>
        <v>02406911202</v>
      </c>
      <c r="C1132" s="1" t="s">
        <v>13</v>
      </c>
      <c r="D1132" s="1" t="s">
        <v>167</v>
      </c>
      <c r="E1132" s="1" t="s">
        <v>1324</v>
      </c>
      <c r="F1132" s="1" t="s">
        <v>151</v>
      </c>
      <c r="G1132" s="1" t="str">
        <f>"02969620133"</f>
        <v>02969620133</v>
      </c>
      <c r="I1132" s="1" t="s">
        <v>1325</v>
      </c>
      <c r="L1132" s="1" t="s">
        <v>43</v>
      </c>
      <c r="M1132" s="1">
        <v>1900</v>
      </c>
      <c r="AG1132" s="1">
        <v>0</v>
      </c>
      <c r="AH1132" s="2">
        <v>45222</v>
      </c>
      <c r="AI1132" s="2">
        <v>45834</v>
      </c>
      <c r="AJ1132" s="2">
        <v>45222</v>
      </c>
    </row>
    <row r="1133" spans="1:36">
      <c r="A1133" s="1" t="str">
        <f>"A01BB80DAE"</f>
        <v>A01BB80DAE</v>
      </c>
      <c r="B1133" s="1" t="str">
        <f t="shared" si="23"/>
        <v>02406911202</v>
      </c>
      <c r="C1133" s="1" t="s">
        <v>13</v>
      </c>
      <c r="D1133" s="1" t="s">
        <v>167</v>
      </c>
      <c r="E1133" s="1" t="s">
        <v>1326</v>
      </c>
      <c r="F1133" s="1" t="s">
        <v>151</v>
      </c>
      <c r="G1133" s="1" t="str">
        <f>"08653830581"</f>
        <v>08653830581</v>
      </c>
      <c r="I1133" s="1" t="s">
        <v>1327</v>
      </c>
      <c r="L1133" s="1" t="s">
        <v>43</v>
      </c>
      <c r="M1133" s="1">
        <v>280000</v>
      </c>
      <c r="AG1133" s="1">
        <v>0</v>
      </c>
      <c r="AH1133" s="2">
        <v>45222</v>
      </c>
      <c r="AI1133" s="2">
        <v>45862</v>
      </c>
      <c r="AJ1133" s="2">
        <v>45222</v>
      </c>
    </row>
    <row r="1134" spans="1:36">
      <c r="A1134" s="1" t="str">
        <f>"A01BBA6D0A"</f>
        <v>A01BBA6D0A</v>
      </c>
      <c r="B1134" s="1" t="str">
        <f t="shared" si="23"/>
        <v>02406911202</v>
      </c>
      <c r="C1134" s="1" t="s">
        <v>13</v>
      </c>
      <c r="D1134" s="1" t="s">
        <v>167</v>
      </c>
      <c r="E1134" s="1" t="s">
        <v>1328</v>
      </c>
      <c r="F1134" s="1" t="s">
        <v>151</v>
      </c>
      <c r="G1134" s="1" t="str">
        <f>"03793051008"</f>
        <v>03793051008</v>
      </c>
      <c r="I1134" s="1" t="s">
        <v>1329</v>
      </c>
      <c r="L1134" s="1" t="s">
        <v>43</v>
      </c>
      <c r="M1134" s="1">
        <v>14425</v>
      </c>
      <c r="AG1134" s="1">
        <v>0</v>
      </c>
      <c r="AH1134" s="2">
        <v>45222</v>
      </c>
      <c r="AI1134" s="2">
        <v>45912</v>
      </c>
      <c r="AJ1134" s="2">
        <v>45222</v>
      </c>
    </row>
    <row r="1135" spans="1:36">
      <c r="A1135" s="1" t="str">
        <f>"A01BFCDA42"</f>
        <v>A01BFCDA42</v>
      </c>
      <c r="B1135" s="1" t="str">
        <f t="shared" si="23"/>
        <v>02406911202</v>
      </c>
      <c r="C1135" s="1" t="s">
        <v>13</v>
      </c>
      <c r="D1135" s="1" t="s">
        <v>167</v>
      </c>
      <c r="E1135" s="1" t="s">
        <v>1330</v>
      </c>
      <c r="F1135" s="1" t="s">
        <v>39</v>
      </c>
      <c r="G1135" s="1" t="str">
        <f>"04841830963"</f>
        <v>04841830963</v>
      </c>
      <c r="I1135" s="1" t="s">
        <v>1331</v>
      </c>
      <c r="L1135" s="1" t="s">
        <v>43</v>
      </c>
      <c r="M1135" s="1">
        <v>119000</v>
      </c>
      <c r="AG1135" s="1">
        <v>0</v>
      </c>
      <c r="AH1135" s="2">
        <v>45250</v>
      </c>
      <c r="AI1135" s="2">
        <v>45351</v>
      </c>
      <c r="AJ1135" s="2">
        <v>45250</v>
      </c>
    </row>
    <row r="1136" spans="1:36">
      <c r="A1136" s="1" t="str">
        <f>"A01C597141"</f>
        <v>A01C597141</v>
      </c>
      <c r="B1136" s="1" t="str">
        <f t="shared" si="23"/>
        <v>02406911202</v>
      </c>
      <c r="C1136" s="1" t="s">
        <v>13</v>
      </c>
      <c r="D1136" s="1" t="s">
        <v>167</v>
      </c>
      <c r="E1136" s="1" t="s">
        <v>1332</v>
      </c>
      <c r="F1136" s="1" t="s">
        <v>151</v>
      </c>
      <c r="G1136" s="1" t="str">
        <f>"11206730159"</f>
        <v>11206730159</v>
      </c>
      <c r="I1136" s="1" t="s">
        <v>68</v>
      </c>
      <c r="L1136" s="1" t="s">
        <v>43</v>
      </c>
      <c r="M1136" s="1">
        <v>278688.52</v>
      </c>
      <c r="AG1136" s="1">
        <v>0</v>
      </c>
      <c r="AH1136" s="2">
        <v>45211</v>
      </c>
      <c r="AI1136" s="2">
        <v>45443</v>
      </c>
      <c r="AJ1136" s="2">
        <v>45211</v>
      </c>
    </row>
    <row r="1137" spans="1:36">
      <c r="A1137" s="1" t="str">
        <f>"A01D090F4C"</f>
        <v>A01D090F4C</v>
      </c>
      <c r="B1137" s="1" t="str">
        <f t="shared" si="23"/>
        <v>02406911202</v>
      </c>
      <c r="C1137" s="1" t="s">
        <v>13</v>
      </c>
      <c r="D1137" s="1" t="s">
        <v>167</v>
      </c>
      <c r="E1137" s="1" t="s">
        <v>1333</v>
      </c>
      <c r="F1137" s="1" t="s">
        <v>151</v>
      </c>
      <c r="G1137" s="1" t="str">
        <f>"05763890638"</f>
        <v>05763890638</v>
      </c>
      <c r="I1137" s="1" t="s">
        <v>1013</v>
      </c>
      <c r="L1137" s="1" t="s">
        <v>43</v>
      </c>
      <c r="M1137" s="1">
        <v>23303.11</v>
      </c>
      <c r="AG1137" s="1">
        <v>0</v>
      </c>
      <c r="AH1137" s="2">
        <v>45215</v>
      </c>
      <c r="AI1137" s="2">
        <v>46022</v>
      </c>
      <c r="AJ1137" s="2">
        <v>45215</v>
      </c>
    </row>
    <row r="1138" spans="1:36">
      <c r="A1138" s="1" t="str">
        <f>"A01D861297"</f>
        <v>A01D861297</v>
      </c>
      <c r="B1138" s="1" t="str">
        <f t="shared" si="23"/>
        <v>02406911202</v>
      </c>
      <c r="C1138" s="1" t="s">
        <v>13</v>
      </c>
      <c r="D1138" s="1" t="s">
        <v>167</v>
      </c>
      <c r="E1138" s="1" t="s">
        <v>1334</v>
      </c>
      <c r="F1138" s="1" t="s">
        <v>151</v>
      </c>
      <c r="G1138" s="1" t="str">
        <f>"09018810151"</f>
        <v>09018810151</v>
      </c>
      <c r="I1138" s="1" t="s">
        <v>203</v>
      </c>
      <c r="L1138" s="1" t="s">
        <v>43</v>
      </c>
      <c r="M1138" s="1">
        <v>85950</v>
      </c>
      <c r="AG1138" s="1">
        <v>0</v>
      </c>
      <c r="AH1138" s="2">
        <v>45215</v>
      </c>
      <c r="AI1138" s="2">
        <v>45945</v>
      </c>
      <c r="AJ1138" s="2">
        <v>45215</v>
      </c>
    </row>
    <row r="1139" spans="1:36">
      <c r="A1139" s="1" t="str">
        <f>"A01D879664"</f>
        <v>A01D879664</v>
      </c>
      <c r="B1139" s="1" t="str">
        <f t="shared" si="23"/>
        <v>02406911202</v>
      </c>
      <c r="C1139" s="1" t="s">
        <v>13</v>
      </c>
      <c r="D1139" s="1" t="s">
        <v>167</v>
      </c>
      <c r="E1139" s="1" t="s">
        <v>1335</v>
      </c>
      <c r="F1139" s="1" t="s">
        <v>151</v>
      </c>
      <c r="G1139" s="1" t="str">
        <f>"09018810151"</f>
        <v>09018810151</v>
      </c>
      <c r="I1139" s="1" t="s">
        <v>203</v>
      </c>
      <c r="L1139" s="1" t="s">
        <v>43</v>
      </c>
      <c r="M1139" s="1">
        <v>71260</v>
      </c>
      <c r="AG1139" s="1">
        <v>0</v>
      </c>
      <c r="AH1139" s="2">
        <v>45215</v>
      </c>
      <c r="AI1139" s="2">
        <v>45945</v>
      </c>
      <c r="AJ1139" s="2">
        <v>45215</v>
      </c>
    </row>
    <row r="1140" spans="1:36">
      <c r="A1140" s="1" t="str">
        <f>"A01D89D41A"</f>
        <v>A01D89D41A</v>
      </c>
      <c r="B1140" s="1" t="str">
        <f t="shared" si="23"/>
        <v>02406911202</v>
      </c>
      <c r="C1140" s="1" t="s">
        <v>13</v>
      </c>
      <c r="D1140" s="1" t="s">
        <v>167</v>
      </c>
      <c r="E1140" s="1" t="s">
        <v>1336</v>
      </c>
      <c r="F1140" s="1" t="s">
        <v>151</v>
      </c>
      <c r="G1140" s="1" t="str">
        <f>"10574970017"</f>
        <v>10574970017</v>
      </c>
      <c r="I1140" s="1" t="s">
        <v>782</v>
      </c>
      <c r="L1140" s="1" t="s">
        <v>43</v>
      </c>
      <c r="M1140" s="1">
        <v>49000</v>
      </c>
      <c r="AG1140" s="1">
        <v>0</v>
      </c>
      <c r="AH1140" s="2">
        <v>45215</v>
      </c>
      <c r="AI1140" s="2">
        <v>45945</v>
      </c>
      <c r="AJ1140" s="2">
        <v>45215</v>
      </c>
    </row>
    <row r="1141" spans="1:36">
      <c r="A1141" s="1" t="str">
        <f>"A01D8B798D"</f>
        <v>A01D8B798D</v>
      </c>
      <c r="B1141" s="1" t="str">
        <f t="shared" si="23"/>
        <v>02406911202</v>
      </c>
      <c r="C1141" s="1" t="s">
        <v>13</v>
      </c>
      <c r="D1141" s="1" t="s">
        <v>167</v>
      </c>
      <c r="E1141" s="1" t="s">
        <v>1337</v>
      </c>
      <c r="F1141" s="1" t="s">
        <v>151</v>
      </c>
      <c r="G1141" s="1" t="str">
        <f>"01835220482"</f>
        <v>01835220482</v>
      </c>
      <c r="I1141" s="1" t="s">
        <v>531</v>
      </c>
      <c r="L1141" s="1" t="s">
        <v>43</v>
      </c>
      <c r="M1141" s="1">
        <v>6200</v>
      </c>
      <c r="AG1141" s="1">
        <v>379</v>
      </c>
      <c r="AH1141" s="2">
        <v>45215</v>
      </c>
      <c r="AI1141" s="2">
        <v>45945</v>
      </c>
      <c r="AJ1141" s="2">
        <v>45215</v>
      </c>
    </row>
    <row r="1142" spans="1:36">
      <c r="A1142" s="1" t="str">
        <f>"A01DEE63E4"</f>
        <v>A01DEE63E4</v>
      </c>
      <c r="B1142" s="1" t="str">
        <f t="shared" si="23"/>
        <v>02406911202</v>
      </c>
      <c r="C1142" s="1" t="s">
        <v>13</v>
      </c>
      <c r="D1142" s="1" t="s">
        <v>167</v>
      </c>
      <c r="E1142" s="1" t="s">
        <v>1338</v>
      </c>
      <c r="F1142" s="1" t="s">
        <v>151</v>
      </c>
      <c r="G1142" s="1" t="str">
        <f>"08397890586"</f>
        <v>08397890586</v>
      </c>
      <c r="I1142" s="1" t="s">
        <v>1339</v>
      </c>
      <c r="L1142" s="1" t="s">
        <v>43</v>
      </c>
      <c r="M1142" s="1">
        <v>52141.8</v>
      </c>
      <c r="AG1142" s="1">
        <v>0</v>
      </c>
      <c r="AH1142" s="2">
        <v>45221</v>
      </c>
      <c r="AI1142" s="2">
        <v>45403</v>
      </c>
      <c r="AJ1142" s="2">
        <v>45221</v>
      </c>
    </row>
    <row r="1143" spans="1:36">
      <c r="A1143" s="1" t="str">
        <f>"A01E4387D8"</f>
        <v>A01E4387D8</v>
      </c>
      <c r="B1143" s="1" t="str">
        <f t="shared" si="23"/>
        <v>02406911202</v>
      </c>
      <c r="C1143" s="1" t="s">
        <v>13</v>
      </c>
      <c r="D1143" s="1" t="s">
        <v>167</v>
      </c>
      <c r="E1143" s="1" t="s">
        <v>1340</v>
      </c>
      <c r="F1143" s="1" t="s">
        <v>39</v>
      </c>
      <c r="G1143" s="1" t="str">
        <f>"00721920155"</f>
        <v>00721920155</v>
      </c>
      <c r="I1143" s="1" t="s">
        <v>1043</v>
      </c>
      <c r="L1143" s="1" t="s">
        <v>43</v>
      </c>
      <c r="M1143" s="1">
        <v>437500</v>
      </c>
      <c r="AG1143" s="1">
        <v>0</v>
      </c>
      <c r="AH1143" s="2">
        <v>45272</v>
      </c>
      <c r="AI1143" s="2">
        <v>45473</v>
      </c>
      <c r="AJ1143" s="2">
        <v>45272</v>
      </c>
    </row>
    <row r="1144" spans="1:36">
      <c r="A1144" s="1" t="str">
        <f>"A01E51B32D"</f>
        <v>A01E51B32D</v>
      </c>
      <c r="B1144" s="1" t="str">
        <f t="shared" si="23"/>
        <v>02406911202</v>
      </c>
      <c r="C1144" s="1" t="s">
        <v>13</v>
      </c>
      <c r="D1144" s="1" t="s">
        <v>177</v>
      </c>
      <c r="E1144" s="1" t="s">
        <v>1341</v>
      </c>
      <c r="F1144" s="1" t="s">
        <v>158</v>
      </c>
      <c r="G1144" s="1" t="str">
        <f>"03214180402"</f>
        <v>03214180402</v>
      </c>
      <c r="I1144" s="1" t="s">
        <v>1342</v>
      </c>
      <c r="L1144" s="1" t="s">
        <v>43</v>
      </c>
      <c r="M1144" s="1">
        <v>35658.239999999998</v>
      </c>
      <c r="AG1144" s="1">
        <v>0</v>
      </c>
      <c r="AH1144" s="2">
        <v>45254</v>
      </c>
      <c r="AI1144" s="2">
        <v>45291</v>
      </c>
      <c r="AJ1144" s="2">
        <v>45254</v>
      </c>
    </row>
    <row r="1145" spans="1:36">
      <c r="A1145" s="1" t="str">
        <f>"A01EA304CB"</f>
        <v>A01EA304CB</v>
      </c>
      <c r="B1145" s="1" t="str">
        <f t="shared" si="23"/>
        <v>02406911202</v>
      </c>
      <c r="C1145" s="1" t="s">
        <v>13</v>
      </c>
      <c r="D1145" s="1" t="s">
        <v>167</v>
      </c>
      <c r="E1145" s="1" t="s">
        <v>1343</v>
      </c>
      <c r="F1145" s="1" t="s">
        <v>151</v>
      </c>
      <c r="G1145" s="1" t="str">
        <f>"13774921004"</f>
        <v>13774921004</v>
      </c>
      <c r="I1145" s="1" t="s">
        <v>420</v>
      </c>
      <c r="L1145" s="1" t="s">
        <v>43</v>
      </c>
      <c r="M1145" s="1">
        <v>85000</v>
      </c>
      <c r="AG1145" s="1">
        <v>4588.68</v>
      </c>
      <c r="AH1145" s="2">
        <v>45219</v>
      </c>
      <c r="AI1145" s="2">
        <v>45504</v>
      </c>
      <c r="AJ1145" s="2">
        <v>45219</v>
      </c>
    </row>
    <row r="1146" spans="1:36">
      <c r="A1146" s="1" t="str">
        <f>"A01F903088"</f>
        <v>A01F903088</v>
      </c>
      <c r="B1146" s="1" t="str">
        <f t="shared" si="23"/>
        <v>02406911202</v>
      </c>
      <c r="C1146" s="1" t="s">
        <v>13</v>
      </c>
      <c r="D1146" s="1" t="s">
        <v>167</v>
      </c>
      <c r="E1146" s="1" t="s">
        <v>1344</v>
      </c>
      <c r="F1146" s="1" t="s">
        <v>151</v>
      </c>
      <c r="G1146" s="1" t="str">
        <f>"05688870483"</f>
        <v>05688870483</v>
      </c>
      <c r="I1146" s="1" t="s">
        <v>1345</v>
      </c>
      <c r="L1146" s="1" t="s">
        <v>43</v>
      </c>
      <c r="M1146" s="1">
        <v>179400</v>
      </c>
      <c r="AG1146" s="1">
        <v>0</v>
      </c>
      <c r="AH1146" s="2">
        <v>45219</v>
      </c>
      <c r="AI1146" s="2">
        <v>47027</v>
      </c>
      <c r="AJ1146" s="2">
        <v>45219</v>
      </c>
    </row>
    <row r="1147" spans="1:36">
      <c r="A1147" s="1" t="str">
        <f>"A01F929FDF"</f>
        <v>A01F929FDF</v>
      </c>
      <c r="B1147" s="1" t="str">
        <f t="shared" si="23"/>
        <v>02406911202</v>
      </c>
      <c r="C1147" s="1" t="s">
        <v>13</v>
      </c>
      <c r="D1147" s="1" t="s">
        <v>167</v>
      </c>
      <c r="E1147" s="1" t="s">
        <v>1344</v>
      </c>
      <c r="F1147" s="1" t="s">
        <v>151</v>
      </c>
      <c r="G1147" s="1" t="str">
        <f>"09050810960"</f>
        <v>09050810960</v>
      </c>
      <c r="I1147" s="1" t="s">
        <v>1047</v>
      </c>
      <c r="L1147" s="1" t="s">
        <v>43</v>
      </c>
      <c r="M1147" s="1">
        <v>130000</v>
      </c>
      <c r="AG1147" s="1">
        <v>0</v>
      </c>
      <c r="AH1147" s="2">
        <v>45219</v>
      </c>
      <c r="AI1147" s="2">
        <v>47037</v>
      </c>
      <c r="AJ1147" s="2">
        <v>45219</v>
      </c>
    </row>
    <row r="1148" spans="1:36">
      <c r="A1148" s="1" t="str">
        <f>"A01F93ADE7"</f>
        <v>A01F93ADE7</v>
      </c>
      <c r="B1148" s="1" t="str">
        <f t="shared" si="23"/>
        <v>02406911202</v>
      </c>
      <c r="C1148" s="1" t="s">
        <v>13</v>
      </c>
      <c r="D1148" s="1" t="s">
        <v>167</v>
      </c>
      <c r="E1148" s="1" t="s">
        <v>1346</v>
      </c>
      <c r="F1148" s="1" t="s">
        <v>151</v>
      </c>
      <c r="G1148" s="1" t="str">
        <f>"05688870483"</f>
        <v>05688870483</v>
      </c>
      <c r="I1148" s="1" t="s">
        <v>1345</v>
      </c>
      <c r="L1148" s="1" t="s">
        <v>43</v>
      </c>
      <c r="M1148" s="1">
        <v>633600</v>
      </c>
      <c r="AG1148" s="1">
        <v>0</v>
      </c>
      <c r="AH1148" s="2">
        <v>45219</v>
      </c>
      <c r="AI1148" s="2">
        <v>47027</v>
      </c>
      <c r="AJ1148" s="2">
        <v>45219</v>
      </c>
    </row>
    <row r="1149" spans="1:36">
      <c r="A1149" s="1" t="str">
        <f>"A01F95328C"</f>
        <v>A01F95328C</v>
      </c>
      <c r="B1149" s="1" t="str">
        <f t="shared" si="23"/>
        <v>02406911202</v>
      </c>
      <c r="C1149" s="1" t="s">
        <v>13</v>
      </c>
      <c r="D1149" s="1" t="s">
        <v>167</v>
      </c>
      <c r="E1149" s="1" t="s">
        <v>1346</v>
      </c>
      <c r="F1149" s="1" t="s">
        <v>151</v>
      </c>
      <c r="G1149" s="1" t="str">
        <f>"09050810960"</f>
        <v>09050810960</v>
      </c>
      <c r="I1149" s="1" t="s">
        <v>1047</v>
      </c>
      <c r="L1149" s="1" t="s">
        <v>43</v>
      </c>
      <c r="M1149" s="1">
        <v>440000</v>
      </c>
      <c r="AG1149" s="1">
        <v>0</v>
      </c>
      <c r="AH1149" s="2">
        <v>45219</v>
      </c>
      <c r="AI1149" s="2">
        <v>47037</v>
      </c>
      <c r="AJ1149" s="2">
        <v>45219</v>
      </c>
    </row>
    <row r="1150" spans="1:36">
      <c r="A1150" s="1" t="str">
        <f>"A01FE27E83"</f>
        <v>A01FE27E83</v>
      </c>
      <c r="B1150" s="1" t="str">
        <f t="shared" si="23"/>
        <v>02406911202</v>
      </c>
      <c r="C1150" s="1" t="s">
        <v>13</v>
      </c>
      <c r="D1150" s="1" t="s">
        <v>167</v>
      </c>
      <c r="E1150" s="1" t="s">
        <v>1347</v>
      </c>
      <c r="F1150" s="1" t="s">
        <v>39</v>
      </c>
      <c r="G1150" s="1" t="str">
        <f>"02737030151"</f>
        <v>02737030151</v>
      </c>
      <c r="I1150" s="1" t="s">
        <v>629</v>
      </c>
      <c r="L1150" s="1" t="s">
        <v>43</v>
      </c>
      <c r="M1150" s="1">
        <v>32668.5</v>
      </c>
      <c r="AG1150" s="1">
        <v>0</v>
      </c>
      <c r="AH1150" s="2">
        <v>45274</v>
      </c>
      <c r="AI1150" s="2">
        <v>45291</v>
      </c>
      <c r="AJ1150" s="2">
        <v>45274</v>
      </c>
    </row>
    <row r="1151" spans="1:36">
      <c r="A1151" s="1" t="str">
        <f>"A020042B50"</f>
        <v>A020042B50</v>
      </c>
      <c r="B1151" s="1" t="str">
        <f t="shared" si="23"/>
        <v>02406911202</v>
      </c>
      <c r="C1151" s="1" t="s">
        <v>13</v>
      </c>
      <c r="D1151" s="1" t="s">
        <v>167</v>
      </c>
      <c r="E1151" s="1" t="s">
        <v>1348</v>
      </c>
      <c r="F1151" s="1" t="s">
        <v>286</v>
      </c>
      <c r="G1151" s="1" t="str">
        <f>"01140030360"</f>
        <v>01140030360</v>
      </c>
      <c r="I1151" s="1" t="s">
        <v>111</v>
      </c>
      <c r="L1151" s="1" t="s">
        <v>43</v>
      </c>
      <c r="M1151" s="1">
        <v>27970</v>
      </c>
      <c r="AG1151" s="1">
        <v>0</v>
      </c>
      <c r="AH1151" s="2">
        <v>45261</v>
      </c>
      <c r="AI1151" s="2">
        <v>45991</v>
      </c>
      <c r="AJ1151" s="2">
        <v>45261</v>
      </c>
    </row>
    <row r="1152" spans="1:36">
      <c r="A1152" s="1" t="str">
        <f>"A02005F341"</f>
        <v>A02005F341</v>
      </c>
      <c r="B1152" s="1" t="str">
        <f t="shared" si="23"/>
        <v>02406911202</v>
      </c>
      <c r="C1152" s="1" t="s">
        <v>13</v>
      </c>
      <c r="D1152" s="1" t="s">
        <v>167</v>
      </c>
      <c r="E1152" s="1" t="s">
        <v>1349</v>
      </c>
      <c r="F1152" s="1" t="s">
        <v>39</v>
      </c>
      <c r="G1152" s="1" t="str">
        <f>"08864080158"</f>
        <v>08864080158</v>
      </c>
      <c r="I1152" s="1" t="s">
        <v>438</v>
      </c>
      <c r="L1152" s="1" t="s">
        <v>43</v>
      </c>
      <c r="M1152" s="1">
        <v>105628.8</v>
      </c>
      <c r="AG1152" s="1">
        <v>0</v>
      </c>
      <c r="AH1152" s="2">
        <v>45223</v>
      </c>
      <c r="AI1152" s="2">
        <v>45291</v>
      </c>
      <c r="AJ1152" s="2">
        <v>45223</v>
      </c>
    </row>
    <row r="1153" spans="1:36">
      <c r="A1153" s="1" t="str">
        <f>"A020069B7F"</f>
        <v>A020069B7F</v>
      </c>
      <c r="B1153" s="1" t="str">
        <f t="shared" si="23"/>
        <v>02406911202</v>
      </c>
      <c r="C1153" s="1" t="s">
        <v>13</v>
      </c>
      <c r="D1153" s="1" t="s">
        <v>167</v>
      </c>
      <c r="E1153" s="1" t="s">
        <v>1350</v>
      </c>
      <c r="F1153" s="1" t="s">
        <v>286</v>
      </c>
      <c r="G1153" s="1" t="str">
        <f>"01140030360"</f>
        <v>01140030360</v>
      </c>
      <c r="I1153" s="1" t="s">
        <v>111</v>
      </c>
      <c r="L1153" s="1" t="s">
        <v>43</v>
      </c>
      <c r="M1153" s="1">
        <v>35060</v>
      </c>
      <c r="AG1153" s="1">
        <v>0</v>
      </c>
      <c r="AH1153" s="2">
        <v>45261</v>
      </c>
      <c r="AI1153" s="2">
        <v>45991</v>
      </c>
      <c r="AJ1153" s="2">
        <v>45261</v>
      </c>
    </row>
    <row r="1154" spans="1:36">
      <c r="A1154" s="1" t="str">
        <f>"A02014403C"</f>
        <v>A02014403C</v>
      </c>
      <c r="B1154" s="1" t="str">
        <f t="shared" ref="B1154:B1217" si="24">"02406911202"</f>
        <v>02406911202</v>
      </c>
      <c r="C1154" s="1" t="s">
        <v>13</v>
      </c>
      <c r="D1154" s="1" t="s">
        <v>167</v>
      </c>
      <c r="E1154" s="1" t="s">
        <v>1351</v>
      </c>
      <c r="F1154" s="1" t="s">
        <v>286</v>
      </c>
      <c r="G1154" s="1" t="str">
        <f>"03748120155"</f>
        <v>03748120155</v>
      </c>
      <c r="I1154" s="1" t="s">
        <v>107</v>
      </c>
      <c r="L1154" s="1" t="s">
        <v>43</v>
      </c>
      <c r="M1154" s="1">
        <v>33308</v>
      </c>
      <c r="AG1154" s="1">
        <v>0</v>
      </c>
      <c r="AH1154" s="2">
        <v>45261</v>
      </c>
      <c r="AI1154" s="2">
        <v>45991</v>
      </c>
      <c r="AJ1154" s="2">
        <v>45261</v>
      </c>
    </row>
    <row r="1155" spans="1:36">
      <c r="A1155" s="1" t="str">
        <f>"A020156F12"</f>
        <v>A020156F12</v>
      </c>
      <c r="B1155" s="1" t="str">
        <f t="shared" si="24"/>
        <v>02406911202</v>
      </c>
      <c r="C1155" s="1" t="s">
        <v>13</v>
      </c>
      <c r="D1155" s="1" t="s">
        <v>167</v>
      </c>
      <c r="E1155" s="1" t="s">
        <v>1352</v>
      </c>
      <c r="F1155" s="1" t="s">
        <v>286</v>
      </c>
      <c r="G1155" s="1" t="str">
        <f>"03748120155"</f>
        <v>03748120155</v>
      </c>
      <c r="I1155" s="1" t="s">
        <v>107</v>
      </c>
      <c r="L1155" s="1" t="s">
        <v>43</v>
      </c>
      <c r="M1155" s="1">
        <v>70600</v>
      </c>
      <c r="AG1155" s="1">
        <v>0</v>
      </c>
      <c r="AH1155" s="2">
        <v>45261</v>
      </c>
      <c r="AI1155" s="2">
        <v>45991</v>
      </c>
      <c r="AJ1155" s="2">
        <v>45261</v>
      </c>
    </row>
    <row r="1156" spans="1:36">
      <c r="A1156" s="1" t="str">
        <f>"A020168DED"</f>
        <v>A020168DED</v>
      </c>
      <c r="B1156" s="1" t="str">
        <f t="shared" si="24"/>
        <v>02406911202</v>
      </c>
      <c r="C1156" s="1" t="s">
        <v>13</v>
      </c>
      <c r="D1156" s="1" t="s">
        <v>167</v>
      </c>
      <c r="E1156" s="1" t="s">
        <v>1353</v>
      </c>
      <c r="F1156" s="1" t="s">
        <v>286</v>
      </c>
      <c r="G1156" s="1" t="str">
        <f>"03748120155"</f>
        <v>03748120155</v>
      </c>
      <c r="I1156" s="1" t="s">
        <v>107</v>
      </c>
      <c r="L1156" s="1" t="s">
        <v>43</v>
      </c>
      <c r="M1156" s="1">
        <v>69320</v>
      </c>
      <c r="AG1156" s="1">
        <v>0</v>
      </c>
      <c r="AH1156" s="2">
        <v>45261</v>
      </c>
      <c r="AI1156" s="2">
        <v>45991</v>
      </c>
      <c r="AJ1156" s="2">
        <v>45261</v>
      </c>
    </row>
    <row r="1157" spans="1:36">
      <c r="A1157" s="1" t="str">
        <f>"A020234648"</f>
        <v>A020234648</v>
      </c>
      <c r="B1157" s="1" t="str">
        <f t="shared" si="24"/>
        <v>02406911202</v>
      </c>
      <c r="C1157" s="1" t="s">
        <v>13</v>
      </c>
      <c r="D1157" s="1" t="s">
        <v>167</v>
      </c>
      <c r="E1157" s="1" t="s">
        <v>1354</v>
      </c>
      <c r="F1157" s="1" t="s">
        <v>286</v>
      </c>
      <c r="G1157" s="1" t="str">
        <f>"01140030360"</f>
        <v>01140030360</v>
      </c>
      <c r="I1157" s="1" t="s">
        <v>111</v>
      </c>
      <c r="L1157" s="1" t="s">
        <v>43</v>
      </c>
      <c r="M1157" s="1">
        <v>70900</v>
      </c>
      <c r="AG1157" s="1">
        <v>0</v>
      </c>
      <c r="AH1157" s="2">
        <v>45261</v>
      </c>
      <c r="AI1157" s="2">
        <v>45991</v>
      </c>
      <c r="AJ1157" s="2">
        <v>45261</v>
      </c>
    </row>
    <row r="1158" spans="1:36">
      <c r="A1158" s="1" t="str">
        <f>"A0202DD1C0"</f>
        <v>A0202DD1C0</v>
      </c>
      <c r="B1158" s="1" t="str">
        <f t="shared" si="24"/>
        <v>02406911202</v>
      </c>
      <c r="C1158" s="1" t="s">
        <v>13</v>
      </c>
      <c r="D1158" s="1" t="s">
        <v>167</v>
      </c>
      <c r="E1158" s="1" t="s">
        <v>1355</v>
      </c>
      <c r="F1158" s="1" t="s">
        <v>286</v>
      </c>
      <c r="G1158" s="1" t="str">
        <f>"01140030360"</f>
        <v>01140030360</v>
      </c>
      <c r="I1158" s="1" t="s">
        <v>111</v>
      </c>
      <c r="L1158" s="1" t="s">
        <v>43</v>
      </c>
      <c r="M1158" s="1">
        <v>8936</v>
      </c>
      <c r="AG1158" s="1">
        <v>0</v>
      </c>
      <c r="AH1158" s="2">
        <v>45261</v>
      </c>
      <c r="AI1158" s="2">
        <v>45991</v>
      </c>
      <c r="AJ1158" s="2">
        <v>45261</v>
      </c>
    </row>
    <row r="1159" spans="1:36">
      <c r="A1159" s="1" t="str">
        <f>"A0202ECE1D"</f>
        <v>A0202ECE1D</v>
      </c>
      <c r="B1159" s="1" t="str">
        <f t="shared" si="24"/>
        <v>02406911202</v>
      </c>
      <c r="C1159" s="1" t="s">
        <v>13</v>
      </c>
      <c r="D1159" s="1" t="s">
        <v>167</v>
      </c>
      <c r="E1159" s="1" t="s">
        <v>1356</v>
      </c>
      <c r="F1159" s="1" t="s">
        <v>286</v>
      </c>
      <c r="G1159" s="1" t="str">
        <f>"01140030360"</f>
        <v>01140030360</v>
      </c>
      <c r="I1159" s="1" t="s">
        <v>111</v>
      </c>
      <c r="L1159" s="1" t="s">
        <v>43</v>
      </c>
      <c r="M1159" s="1">
        <v>14270</v>
      </c>
      <c r="AG1159" s="1">
        <v>0</v>
      </c>
      <c r="AH1159" s="2">
        <v>45261</v>
      </c>
      <c r="AI1159" s="2">
        <v>45991</v>
      </c>
      <c r="AJ1159" s="2">
        <v>45261</v>
      </c>
    </row>
    <row r="1160" spans="1:36">
      <c r="A1160" s="1" t="str">
        <f>"A0202F8806"</f>
        <v>A0202F8806</v>
      </c>
      <c r="B1160" s="1" t="str">
        <f t="shared" si="24"/>
        <v>02406911202</v>
      </c>
      <c r="C1160" s="1" t="s">
        <v>13</v>
      </c>
      <c r="D1160" s="1" t="s">
        <v>167</v>
      </c>
      <c r="E1160" s="1" t="s">
        <v>1357</v>
      </c>
      <c r="F1160" s="1" t="s">
        <v>286</v>
      </c>
      <c r="G1160" s="1" t="str">
        <f>"00803890151"</f>
        <v>00803890151</v>
      </c>
      <c r="I1160" s="1" t="s">
        <v>104</v>
      </c>
      <c r="L1160" s="1" t="s">
        <v>43</v>
      </c>
      <c r="M1160" s="1">
        <v>5800</v>
      </c>
      <c r="AG1160" s="1">
        <v>0</v>
      </c>
      <c r="AH1160" s="2">
        <v>45261</v>
      </c>
      <c r="AI1160" s="2">
        <v>45991</v>
      </c>
      <c r="AJ1160" s="2">
        <v>45261</v>
      </c>
    </row>
    <row r="1161" spans="1:36">
      <c r="A1161" s="1" t="str">
        <f>"A020307468"</f>
        <v>A020307468</v>
      </c>
      <c r="B1161" s="1" t="str">
        <f t="shared" si="24"/>
        <v>02406911202</v>
      </c>
      <c r="C1161" s="1" t="s">
        <v>13</v>
      </c>
      <c r="D1161" s="1" t="s">
        <v>167</v>
      </c>
      <c r="E1161" s="1" t="s">
        <v>1358</v>
      </c>
      <c r="F1161" s="1" t="s">
        <v>286</v>
      </c>
      <c r="G1161" s="1" t="str">
        <f>"09693591001"</f>
        <v>09693591001</v>
      </c>
      <c r="I1161" s="1" t="s">
        <v>112</v>
      </c>
      <c r="L1161" s="1" t="s">
        <v>43</v>
      </c>
      <c r="M1161" s="1">
        <v>12716</v>
      </c>
      <c r="AG1161" s="1">
        <v>0</v>
      </c>
      <c r="AH1161" s="2">
        <v>45261</v>
      </c>
      <c r="AI1161" s="2">
        <v>45991</v>
      </c>
      <c r="AJ1161" s="2">
        <v>45261</v>
      </c>
    </row>
    <row r="1162" spans="1:36">
      <c r="A1162" s="1" t="str">
        <f>"A020314F1F"</f>
        <v>A020314F1F</v>
      </c>
      <c r="B1162" s="1" t="str">
        <f t="shared" si="24"/>
        <v>02406911202</v>
      </c>
      <c r="C1162" s="1" t="s">
        <v>13</v>
      </c>
      <c r="D1162" s="1" t="s">
        <v>167</v>
      </c>
      <c r="E1162" s="1" t="s">
        <v>1359</v>
      </c>
      <c r="F1162" s="1" t="s">
        <v>286</v>
      </c>
      <c r="G1162" s="1" t="str">
        <f>"03748120155"</f>
        <v>03748120155</v>
      </c>
      <c r="I1162" s="1" t="s">
        <v>107</v>
      </c>
      <c r="L1162" s="1" t="s">
        <v>43</v>
      </c>
      <c r="M1162" s="1">
        <v>6760</v>
      </c>
      <c r="AG1162" s="1">
        <v>0</v>
      </c>
      <c r="AH1162" s="2">
        <v>45261</v>
      </c>
      <c r="AI1162" s="2">
        <v>45991</v>
      </c>
      <c r="AJ1162" s="2">
        <v>45261</v>
      </c>
    </row>
    <row r="1163" spans="1:36">
      <c r="A1163" s="1" t="str">
        <f>"A0203662CE"</f>
        <v>A0203662CE</v>
      </c>
      <c r="B1163" s="1" t="str">
        <f t="shared" si="24"/>
        <v>02406911202</v>
      </c>
      <c r="C1163" s="1" t="s">
        <v>13</v>
      </c>
      <c r="D1163" s="1" t="s">
        <v>167</v>
      </c>
      <c r="E1163" s="1" t="s">
        <v>1360</v>
      </c>
      <c r="F1163" s="1" t="s">
        <v>151</v>
      </c>
      <c r="G1163" s="1" t="str">
        <f>"00136740404"</f>
        <v>00136740404</v>
      </c>
      <c r="I1163" s="1" t="s">
        <v>398</v>
      </c>
      <c r="L1163" s="1" t="s">
        <v>43</v>
      </c>
      <c r="M1163" s="1">
        <v>55548.5</v>
      </c>
      <c r="AG1163" s="1">
        <v>0</v>
      </c>
      <c r="AH1163" s="2">
        <v>45224</v>
      </c>
      <c r="AI1163" s="2">
        <v>45375</v>
      </c>
      <c r="AJ1163" s="2">
        <v>45224</v>
      </c>
    </row>
    <row r="1164" spans="1:36">
      <c r="A1164" s="1" t="str">
        <f>"A02037F76E"</f>
        <v>A02037F76E</v>
      </c>
      <c r="B1164" s="1" t="str">
        <f t="shared" si="24"/>
        <v>02406911202</v>
      </c>
      <c r="C1164" s="1" t="s">
        <v>13</v>
      </c>
      <c r="D1164" s="1" t="s">
        <v>167</v>
      </c>
      <c r="E1164" s="1" t="s">
        <v>1361</v>
      </c>
      <c r="F1164" s="1" t="s">
        <v>151</v>
      </c>
      <c r="G1164" s="1" t="str">
        <f>"00136740404"</f>
        <v>00136740404</v>
      </c>
      <c r="I1164" s="1" t="s">
        <v>398</v>
      </c>
      <c r="L1164" s="1" t="s">
        <v>43</v>
      </c>
      <c r="M1164" s="1">
        <v>18106.060000000001</v>
      </c>
      <c r="AG1164" s="1">
        <v>0</v>
      </c>
      <c r="AH1164" s="2">
        <v>45224</v>
      </c>
      <c r="AI1164" s="2">
        <v>45375</v>
      </c>
      <c r="AJ1164" s="2">
        <v>45224</v>
      </c>
    </row>
    <row r="1165" spans="1:36">
      <c r="A1165" s="1" t="str">
        <f>"A020B25739"</f>
        <v>A020B25739</v>
      </c>
      <c r="B1165" s="1" t="str">
        <f t="shared" si="24"/>
        <v>02406911202</v>
      </c>
      <c r="C1165" s="1" t="s">
        <v>13</v>
      </c>
      <c r="D1165" s="1" t="s">
        <v>167</v>
      </c>
      <c r="E1165" s="1" t="s">
        <v>1362</v>
      </c>
      <c r="F1165" s="1" t="s">
        <v>39</v>
      </c>
      <c r="G1165" s="1" t="str">
        <f>"07195130153"</f>
        <v>07195130153</v>
      </c>
      <c r="I1165" s="1" t="s">
        <v>143</v>
      </c>
      <c r="L1165" s="1" t="s">
        <v>43</v>
      </c>
      <c r="M1165" s="1">
        <v>168336</v>
      </c>
      <c r="AG1165" s="1">
        <v>0</v>
      </c>
      <c r="AH1165" s="2">
        <v>45222</v>
      </c>
      <c r="AI1165" s="2">
        <v>45596</v>
      </c>
      <c r="AJ1165" s="2">
        <v>45222</v>
      </c>
    </row>
    <row r="1166" spans="1:36">
      <c r="A1166" s="1" t="str">
        <f>"A0212B65B0"</f>
        <v>A0212B65B0</v>
      </c>
      <c r="B1166" s="1" t="str">
        <f t="shared" si="24"/>
        <v>02406911202</v>
      </c>
      <c r="C1166" s="1" t="s">
        <v>13</v>
      </c>
      <c r="D1166" s="1" t="s">
        <v>167</v>
      </c>
      <c r="E1166" s="1" t="s">
        <v>1363</v>
      </c>
      <c r="F1166" s="1" t="s">
        <v>151</v>
      </c>
      <c r="G1166" s="1" t="str">
        <f>"02737030151"</f>
        <v>02737030151</v>
      </c>
      <c r="I1166" s="1" t="s">
        <v>629</v>
      </c>
      <c r="L1166" s="1" t="s">
        <v>43</v>
      </c>
      <c r="M1166" s="1">
        <v>419812.48</v>
      </c>
      <c r="AG1166" s="1">
        <v>3275.78</v>
      </c>
      <c r="AH1166" s="2">
        <v>45224</v>
      </c>
      <c r="AI1166" s="2">
        <v>45589</v>
      </c>
      <c r="AJ1166" s="2">
        <v>45224</v>
      </c>
    </row>
    <row r="1167" spans="1:36">
      <c r="A1167" s="1" t="str">
        <f>"A02153442F"</f>
        <v>A02153442F</v>
      </c>
      <c r="B1167" s="1" t="str">
        <f t="shared" si="24"/>
        <v>02406911202</v>
      </c>
      <c r="C1167" s="1" t="s">
        <v>13</v>
      </c>
      <c r="D1167" s="1" t="s">
        <v>167</v>
      </c>
      <c r="E1167" s="1" t="s">
        <v>1364</v>
      </c>
      <c r="F1167" s="1" t="s">
        <v>39</v>
      </c>
      <c r="G1167" s="1" t="str">
        <f>"02879890982"</f>
        <v>02879890982</v>
      </c>
      <c r="I1167" s="1" t="s">
        <v>1365</v>
      </c>
      <c r="L1167" s="1" t="s">
        <v>43</v>
      </c>
      <c r="M1167" s="1">
        <v>70035.38</v>
      </c>
      <c r="AG1167" s="1">
        <v>0</v>
      </c>
      <c r="AH1167" s="2">
        <v>45223</v>
      </c>
      <c r="AI1167" s="2">
        <v>45291</v>
      </c>
      <c r="AJ1167" s="2">
        <v>45223</v>
      </c>
    </row>
    <row r="1168" spans="1:36">
      <c r="A1168" s="1" t="str">
        <f>"A021E54BE7"</f>
        <v>A021E54BE7</v>
      </c>
      <c r="B1168" s="1" t="str">
        <f t="shared" si="24"/>
        <v>02406911202</v>
      </c>
      <c r="C1168" s="1" t="s">
        <v>13</v>
      </c>
      <c r="D1168" s="1" t="s">
        <v>167</v>
      </c>
      <c r="E1168" s="1" t="s">
        <v>1366</v>
      </c>
      <c r="F1168" s="1" t="s">
        <v>151</v>
      </c>
      <c r="G1168" s="1" t="str">
        <f>"01850920388"</f>
        <v>01850920388</v>
      </c>
      <c r="I1168" s="1" t="s">
        <v>1367</v>
      </c>
      <c r="L1168" s="1" t="s">
        <v>43</v>
      </c>
      <c r="M1168" s="1">
        <v>56160</v>
      </c>
      <c r="AG1168" s="1">
        <v>0</v>
      </c>
      <c r="AH1168" s="2">
        <v>45231</v>
      </c>
      <c r="AI1168" s="2">
        <v>45961</v>
      </c>
      <c r="AJ1168" s="2">
        <v>45231</v>
      </c>
    </row>
    <row r="1169" spans="1:36">
      <c r="A1169" s="1" t="str">
        <f>"A022AD2AFA"</f>
        <v>A022AD2AFA</v>
      </c>
      <c r="B1169" s="1" t="str">
        <f t="shared" si="24"/>
        <v>02406911202</v>
      </c>
      <c r="C1169" s="1" t="s">
        <v>13</v>
      </c>
      <c r="D1169" s="1" t="s">
        <v>167</v>
      </c>
      <c r="E1169" s="1" t="s">
        <v>1368</v>
      </c>
      <c r="F1169" s="1" t="s">
        <v>151</v>
      </c>
      <c r="G1169" s="1" t="str">
        <f>"00076670595"</f>
        <v>00076670595</v>
      </c>
      <c r="I1169" s="1" t="s">
        <v>219</v>
      </c>
      <c r="L1169" s="1" t="s">
        <v>43</v>
      </c>
      <c r="M1169" s="1">
        <v>84000</v>
      </c>
      <c r="AG1169" s="1">
        <v>0</v>
      </c>
      <c r="AH1169" s="2">
        <v>45231</v>
      </c>
      <c r="AI1169" s="2">
        <v>45412</v>
      </c>
      <c r="AJ1169" s="2">
        <v>45231</v>
      </c>
    </row>
    <row r="1170" spans="1:36">
      <c r="A1170" s="1" t="str">
        <f>"A022AE6B7B"</f>
        <v>A022AE6B7B</v>
      </c>
      <c r="B1170" s="1" t="str">
        <f t="shared" si="24"/>
        <v>02406911202</v>
      </c>
      <c r="C1170" s="1" t="s">
        <v>13</v>
      </c>
      <c r="D1170" s="1" t="s">
        <v>167</v>
      </c>
      <c r="E1170" s="1" t="s">
        <v>1368</v>
      </c>
      <c r="F1170" s="1" t="s">
        <v>151</v>
      </c>
      <c r="G1170" s="1" t="str">
        <f>"13522771008"</f>
        <v>13522771008</v>
      </c>
      <c r="I1170" s="1" t="s">
        <v>1046</v>
      </c>
      <c r="L1170" s="1" t="s">
        <v>43</v>
      </c>
      <c r="M1170" s="1">
        <v>82250</v>
      </c>
      <c r="AG1170" s="1">
        <v>0</v>
      </c>
      <c r="AH1170" s="2">
        <v>45231</v>
      </c>
      <c r="AI1170" s="2">
        <v>45412</v>
      </c>
      <c r="AJ1170" s="2">
        <v>45231</v>
      </c>
    </row>
    <row r="1171" spans="1:36">
      <c r="A1171" s="1" t="str">
        <f>"A022B23DD1"</f>
        <v>A022B23DD1</v>
      </c>
      <c r="B1171" s="1" t="str">
        <f t="shared" si="24"/>
        <v>02406911202</v>
      </c>
      <c r="C1171" s="1" t="s">
        <v>13</v>
      </c>
      <c r="D1171" s="1" t="s">
        <v>167</v>
      </c>
      <c r="E1171" s="1" t="s">
        <v>1368</v>
      </c>
      <c r="F1171" s="1" t="s">
        <v>151</v>
      </c>
      <c r="G1171" s="1" t="str">
        <f>"09050810960"</f>
        <v>09050810960</v>
      </c>
      <c r="I1171" s="1" t="s">
        <v>1047</v>
      </c>
      <c r="L1171" s="1" t="s">
        <v>43</v>
      </c>
      <c r="M1171" s="1">
        <v>12000</v>
      </c>
      <c r="AG1171" s="1">
        <v>0</v>
      </c>
      <c r="AH1171" s="2">
        <v>45231</v>
      </c>
      <c r="AI1171" s="2">
        <v>45412</v>
      </c>
      <c r="AJ1171" s="2">
        <v>45231</v>
      </c>
    </row>
    <row r="1172" spans="1:36">
      <c r="A1172" s="1" t="str">
        <f>"A022B3F4EF"</f>
        <v>A022B3F4EF</v>
      </c>
      <c r="B1172" s="1" t="str">
        <f t="shared" si="24"/>
        <v>02406911202</v>
      </c>
      <c r="C1172" s="1" t="s">
        <v>13</v>
      </c>
      <c r="D1172" s="1" t="s">
        <v>167</v>
      </c>
      <c r="E1172" s="1" t="s">
        <v>1368</v>
      </c>
      <c r="F1172" s="1" t="s">
        <v>151</v>
      </c>
      <c r="G1172" s="1" t="str">
        <f>"00832400154"</f>
        <v>00832400154</v>
      </c>
      <c r="I1172" s="1" t="s">
        <v>641</v>
      </c>
      <c r="L1172" s="1" t="s">
        <v>43</v>
      </c>
      <c r="M1172" s="1">
        <v>50700</v>
      </c>
      <c r="AG1172" s="1">
        <v>0</v>
      </c>
      <c r="AH1172" s="2">
        <v>45231</v>
      </c>
      <c r="AI1172" s="2">
        <v>45412</v>
      </c>
      <c r="AJ1172" s="2">
        <v>45231</v>
      </c>
    </row>
    <row r="1173" spans="1:36">
      <c r="A1173" s="1" t="str">
        <f>"A022E08153"</f>
        <v>A022E08153</v>
      </c>
      <c r="B1173" s="1" t="str">
        <f t="shared" si="24"/>
        <v>02406911202</v>
      </c>
      <c r="C1173" s="1" t="s">
        <v>13</v>
      </c>
      <c r="D1173" s="1" t="s">
        <v>167</v>
      </c>
      <c r="E1173" s="1" t="s">
        <v>1369</v>
      </c>
      <c r="F1173" s="1" t="s">
        <v>151</v>
      </c>
      <c r="G1173" s="1" t="str">
        <f>"00856750153"</f>
        <v>00856750153</v>
      </c>
      <c r="I1173" s="1" t="s">
        <v>299</v>
      </c>
      <c r="L1173" s="1" t="s">
        <v>43</v>
      </c>
      <c r="M1173" s="1">
        <v>346421.83</v>
      </c>
      <c r="AG1173" s="1">
        <v>0</v>
      </c>
      <c r="AH1173" s="2">
        <v>45251</v>
      </c>
      <c r="AI1173" s="2">
        <v>45291</v>
      </c>
      <c r="AJ1173" s="2">
        <v>45251</v>
      </c>
    </row>
    <row r="1174" spans="1:36">
      <c r="A1174" s="1" t="str">
        <f>"A02400162F"</f>
        <v>A02400162F</v>
      </c>
      <c r="B1174" s="1" t="str">
        <f t="shared" si="24"/>
        <v>02406911202</v>
      </c>
      <c r="C1174" s="1" t="s">
        <v>13</v>
      </c>
      <c r="D1174" s="1" t="s">
        <v>167</v>
      </c>
      <c r="E1174" s="1" t="s">
        <v>1026</v>
      </c>
      <c r="F1174" s="1" t="s">
        <v>39</v>
      </c>
      <c r="G1174" s="1" t="str">
        <f>"04185110154"</f>
        <v>04185110154</v>
      </c>
      <c r="I1174" s="1" t="s">
        <v>1027</v>
      </c>
      <c r="L1174" s="1" t="s">
        <v>43</v>
      </c>
      <c r="M1174" s="1">
        <v>6308352.1600000001</v>
      </c>
      <c r="AG1174" s="1">
        <v>0</v>
      </c>
      <c r="AH1174" s="2">
        <v>45231</v>
      </c>
      <c r="AI1174" s="2">
        <v>45565</v>
      </c>
      <c r="AJ1174" s="2">
        <v>45231</v>
      </c>
    </row>
    <row r="1175" spans="1:36">
      <c r="A1175" s="1" t="str">
        <f>"A02403C6DF"</f>
        <v>A02403C6DF</v>
      </c>
      <c r="B1175" s="1" t="str">
        <f t="shared" si="24"/>
        <v>02406911202</v>
      </c>
      <c r="C1175" s="1" t="s">
        <v>13</v>
      </c>
      <c r="D1175" s="1" t="s">
        <v>177</v>
      </c>
      <c r="E1175" s="1" t="s">
        <v>1370</v>
      </c>
      <c r="F1175" s="1" t="s">
        <v>39</v>
      </c>
      <c r="G1175" s="1" t="str">
        <f>"00578401200"</f>
        <v>00578401200</v>
      </c>
      <c r="I1175" s="1" t="s">
        <v>192</v>
      </c>
      <c r="L1175" s="1" t="s">
        <v>43</v>
      </c>
      <c r="M1175" s="1">
        <v>799000</v>
      </c>
      <c r="AG1175" s="1">
        <v>16472</v>
      </c>
      <c r="AH1175" s="2">
        <v>45201</v>
      </c>
      <c r="AI1175" s="2">
        <v>46387</v>
      </c>
      <c r="AJ1175" s="2">
        <v>45201</v>
      </c>
    </row>
    <row r="1176" spans="1:36">
      <c r="A1176" s="1" t="str">
        <f>"A0240ED8EF"</f>
        <v>A0240ED8EF</v>
      </c>
      <c r="B1176" s="1" t="str">
        <f t="shared" si="24"/>
        <v>02406911202</v>
      </c>
      <c r="C1176" s="1" t="s">
        <v>13</v>
      </c>
      <c r="D1176" s="1" t="s">
        <v>167</v>
      </c>
      <c r="E1176" s="1" t="s">
        <v>1371</v>
      </c>
      <c r="F1176" s="1" t="s">
        <v>151</v>
      </c>
      <c r="G1176" s="1" t="str">
        <f>"07435060152"</f>
        <v>07435060152</v>
      </c>
      <c r="I1176" s="1" t="s">
        <v>552</v>
      </c>
      <c r="L1176" s="1" t="s">
        <v>43</v>
      </c>
      <c r="M1176" s="1">
        <v>58708</v>
      </c>
      <c r="AG1176" s="1">
        <v>0</v>
      </c>
      <c r="AH1176" s="2">
        <v>45242</v>
      </c>
      <c r="AI1176" s="2">
        <v>45412</v>
      </c>
      <c r="AJ1176" s="2">
        <v>45242</v>
      </c>
    </row>
    <row r="1177" spans="1:36">
      <c r="A1177" s="1" t="str">
        <f>"A02411384B"</f>
        <v>A02411384B</v>
      </c>
      <c r="B1177" s="1" t="str">
        <f t="shared" si="24"/>
        <v>02406911202</v>
      </c>
      <c r="C1177" s="1" t="s">
        <v>13</v>
      </c>
      <c r="D1177" s="1" t="s">
        <v>167</v>
      </c>
      <c r="E1177" s="1" t="s">
        <v>1371</v>
      </c>
      <c r="F1177" s="1" t="s">
        <v>151</v>
      </c>
      <c r="G1177" s="1" t="str">
        <f>"07677821212"</f>
        <v>07677821212</v>
      </c>
      <c r="I1177" s="1" t="s">
        <v>1041</v>
      </c>
      <c r="L1177" s="1" t="s">
        <v>43</v>
      </c>
      <c r="M1177" s="1">
        <v>3450</v>
      </c>
      <c r="AG1177" s="1">
        <v>0</v>
      </c>
      <c r="AH1177" s="2">
        <v>45235</v>
      </c>
      <c r="AI1177" s="2">
        <v>45412</v>
      </c>
      <c r="AJ1177" s="2">
        <v>45235</v>
      </c>
    </row>
    <row r="1178" spans="1:36">
      <c r="A1178" s="1" t="str">
        <f>"A02412BC18"</f>
        <v>A02412BC18</v>
      </c>
      <c r="B1178" s="1" t="str">
        <f t="shared" si="24"/>
        <v>02406911202</v>
      </c>
      <c r="C1178" s="1" t="s">
        <v>13</v>
      </c>
      <c r="D1178" s="1" t="s">
        <v>167</v>
      </c>
      <c r="E1178" s="1" t="s">
        <v>1371</v>
      </c>
      <c r="F1178" s="1" t="s">
        <v>151</v>
      </c>
      <c r="G1178" s="1" t="str">
        <f>"07121831007"</f>
        <v>07121831007</v>
      </c>
      <c r="I1178" s="1" t="s">
        <v>737</v>
      </c>
      <c r="L1178" s="1" t="s">
        <v>43</v>
      </c>
      <c r="M1178" s="1">
        <v>128962.5</v>
      </c>
      <c r="AG1178" s="1">
        <v>0</v>
      </c>
      <c r="AH1178" s="2">
        <v>45235</v>
      </c>
      <c r="AI1178" s="2">
        <v>45412</v>
      </c>
      <c r="AJ1178" s="2">
        <v>45235</v>
      </c>
    </row>
    <row r="1179" spans="1:36">
      <c r="A1179" s="1" t="str">
        <f>"A0241386D4"</f>
        <v>A0241386D4</v>
      </c>
      <c r="B1179" s="1" t="str">
        <f t="shared" si="24"/>
        <v>02406911202</v>
      </c>
      <c r="C1179" s="1" t="s">
        <v>13</v>
      </c>
      <c r="D1179" s="1" t="s">
        <v>167</v>
      </c>
      <c r="E1179" s="1" t="s">
        <v>1371</v>
      </c>
      <c r="F1179" s="1" t="s">
        <v>151</v>
      </c>
      <c r="G1179" s="1" t="str">
        <f>"07393830158"</f>
        <v>07393830158</v>
      </c>
      <c r="I1179" s="1" t="s">
        <v>1042</v>
      </c>
      <c r="L1179" s="1" t="s">
        <v>43</v>
      </c>
      <c r="M1179" s="1">
        <v>25400</v>
      </c>
      <c r="AG1179" s="1">
        <v>0</v>
      </c>
      <c r="AH1179" s="2">
        <v>45226</v>
      </c>
      <c r="AI1179" s="2">
        <v>45412</v>
      </c>
      <c r="AJ1179" s="2">
        <v>45226</v>
      </c>
    </row>
    <row r="1180" spans="1:36">
      <c r="A1180" s="1" t="str">
        <f>"A02415813E"</f>
        <v>A02415813E</v>
      </c>
      <c r="B1180" s="1" t="str">
        <f t="shared" si="24"/>
        <v>02406911202</v>
      </c>
      <c r="C1180" s="1" t="s">
        <v>13</v>
      </c>
      <c r="D1180" s="1" t="s">
        <v>167</v>
      </c>
      <c r="E1180" s="1" t="s">
        <v>1371</v>
      </c>
      <c r="F1180" s="1" t="s">
        <v>151</v>
      </c>
      <c r="G1180" s="1" t="str">
        <f>"07862510018"</f>
        <v>07862510018</v>
      </c>
      <c r="I1180" s="1" t="s">
        <v>330</v>
      </c>
      <c r="L1180" s="1" t="s">
        <v>43</v>
      </c>
      <c r="M1180" s="1">
        <v>114852</v>
      </c>
      <c r="AG1180" s="1">
        <v>0</v>
      </c>
      <c r="AH1180" s="2">
        <v>45250</v>
      </c>
      <c r="AI1180" s="2">
        <v>45412</v>
      </c>
      <c r="AJ1180" s="2">
        <v>45250</v>
      </c>
    </row>
    <row r="1181" spans="1:36">
      <c r="A1181" s="1" t="str">
        <f>"A024E240AF"</f>
        <v>A024E240AF</v>
      </c>
      <c r="B1181" s="1" t="str">
        <f t="shared" si="24"/>
        <v>02406911202</v>
      </c>
      <c r="C1181" s="1" t="s">
        <v>13</v>
      </c>
      <c r="D1181" s="1" t="s">
        <v>167</v>
      </c>
      <c r="E1181" s="1" t="s">
        <v>1372</v>
      </c>
      <c r="F1181" s="1" t="s">
        <v>39</v>
      </c>
      <c r="G1181" s="1" t="str">
        <f>"01535310427"</f>
        <v>01535310427</v>
      </c>
      <c r="I1181" s="1" t="s">
        <v>1373</v>
      </c>
      <c r="L1181" s="1" t="s">
        <v>43</v>
      </c>
      <c r="M1181" s="1">
        <v>56500</v>
      </c>
      <c r="AG1181" s="1">
        <v>0</v>
      </c>
      <c r="AH1181" s="2">
        <v>45275</v>
      </c>
      <c r="AI1181" s="2">
        <v>45382</v>
      </c>
      <c r="AJ1181" s="2">
        <v>45275</v>
      </c>
    </row>
    <row r="1182" spans="1:36">
      <c r="A1182" s="1" t="str">
        <f>"A025CC20AE"</f>
        <v>A025CC20AE</v>
      </c>
      <c r="B1182" s="1" t="str">
        <f t="shared" si="24"/>
        <v>02406911202</v>
      </c>
      <c r="C1182" s="1" t="s">
        <v>13</v>
      </c>
      <c r="D1182" s="1" t="s">
        <v>167</v>
      </c>
      <c r="E1182" s="1" t="s">
        <v>1374</v>
      </c>
      <c r="F1182" s="1" t="s">
        <v>39</v>
      </c>
      <c r="G1182" s="1" t="str">
        <f>"10352790157"</f>
        <v>10352790157</v>
      </c>
      <c r="I1182" s="1" t="s">
        <v>1375</v>
      </c>
      <c r="L1182" s="1" t="s">
        <v>43</v>
      </c>
      <c r="M1182" s="1">
        <v>49890</v>
      </c>
      <c r="AG1182" s="1">
        <v>0</v>
      </c>
      <c r="AH1182" s="2">
        <v>45288</v>
      </c>
      <c r="AI1182" s="2">
        <v>45291</v>
      </c>
      <c r="AJ1182" s="2">
        <v>45288</v>
      </c>
    </row>
    <row r="1183" spans="1:36">
      <c r="A1183" s="1" t="str">
        <f>"A0264C19E8"</f>
        <v>A0264C19E8</v>
      </c>
      <c r="B1183" s="1" t="str">
        <f t="shared" si="24"/>
        <v>02406911202</v>
      </c>
      <c r="C1183" s="1" t="s">
        <v>13</v>
      </c>
      <c r="D1183" s="1" t="s">
        <v>167</v>
      </c>
      <c r="E1183" s="1" t="s">
        <v>1376</v>
      </c>
      <c r="F1183" s="1" t="s">
        <v>39</v>
      </c>
      <c r="G1183" s="1" t="str">
        <f>"11206730159"</f>
        <v>11206730159</v>
      </c>
      <c r="I1183" s="1" t="s">
        <v>68</v>
      </c>
      <c r="L1183" s="1" t="s">
        <v>43</v>
      </c>
      <c r="M1183" s="1">
        <v>96700</v>
      </c>
      <c r="AG1183" s="1">
        <v>0</v>
      </c>
      <c r="AH1183" s="2">
        <v>45238</v>
      </c>
      <c r="AI1183" s="2">
        <v>45603</v>
      </c>
      <c r="AJ1183" s="2">
        <v>45238</v>
      </c>
    </row>
    <row r="1184" spans="1:36">
      <c r="A1184" s="1" t="str">
        <f>"A0265170E3"</f>
        <v>A0265170E3</v>
      </c>
      <c r="B1184" s="1" t="str">
        <f t="shared" si="24"/>
        <v>02406911202</v>
      </c>
      <c r="C1184" s="1" t="s">
        <v>13</v>
      </c>
      <c r="D1184" s="1" t="s">
        <v>167</v>
      </c>
      <c r="E1184" s="1" t="s">
        <v>1377</v>
      </c>
      <c r="F1184" s="1" t="s">
        <v>39</v>
      </c>
      <c r="G1184" s="1" t="str">
        <f>"80063930376"</f>
        <v>80063930376</v>
      </c>
      <c r="I1184" s="1" t="s">
        <v>129</v>
      </c>
      <c r="J1184" s="1" t="s">
        <v>1378</v>
      </c>
      <c r="K1184" s="1" t="s">
        <v>141</v>
      </c>
      <c r="AJ1184" s="2">
        <v>45237</v>
      </c>
    </row>
    <row r="1185" spans="1:36">
      <c r="A1185" s="1" t="str">
        <f>"A0265170E3"</f>
        <v>A0265170E3</v>
      </c>
      <c r="B1185" s="1" t="str">
        <f t="shared" si="24"/>
        <v>02406911202</v>
      </c>
      <c r="C1185" s="1" t="s">
        <v>13</v>
      </c>
      <c r="D1185" s="1" t="s">
        <v>167</v>
      </c>
      <c r="E1185" s="1" t="s">
        <v>1377</v>
      </c>
      <c r="F1185" s="1" t="s">
        <v>39</v>
      </c>
      <c r="G1185" s="1" t="str">
        <f>"03699741207"</f>
        <v>03699741207</v>
      </c>
      <c r="I1185" s="1" t="s">
        <v>1379</v>
      </c>
      <c r="J1185" s="1" t="s">
        <v>1378</v>
      </c>
      <c r="K1185" s="1" t="s">
        <v>139</v>
      </c>
      <c r="AJ1185" s="2">
        <v>45237</v>
      </c>
    </row>
    <row r="1186" spans="1:36">
      <c r="A1186" s="1" t="str">
        <f>"A0265170E3"</f>
        <v>A0265170E3</v>
      </c>
      <c r="B1186" s="1" t="str">
        <f t="shared" si="24"/>
        <v>02406911202</v>
      </c>
      <c r="C1186" s="1" t="s">
        <v>13</v>
      </c>
      <c r="D1186" s="1" t="s">
        <v>167</v>
      </c>
      <c r="E1186" s="1" t="s">
        <v>1377</v>
      </c>
      <c r="F1186" s="1" t="s">
        <v>39</v>
      </c>
      <c r="G1186" s="1" t="str">
        <f>"02376540379"</f>
        <v>02376540379</v>
      </c>
      <c r="I1186" s="1" t="s">
        <v>583</v>
      </c>
      <c r="J1186" s="1" t="s">
        <v>1378</v>
      </c>
      <c r="K1186" s="1" t="s">
        <v>141</v>
      </c>
      <c r="AJ1186" s="2">
        <v>45237</v>
      </c>
    </row>
    <row r="1187" spans="1:36">
      <c r="A1187" s="1" t="str">
        <f>"A0265170E3"</f>
        <v>A0265170E3</v>
      </c>
      <c r="B1187" s="1" t="str">
        <f t="shared" si="24"/>
        <v>02406911202</v>
      </c>
      <c r="C1187" s="1" t="s">
        <v>13</v>
      </c>
      <c r="D1187" s="1" t="s">
        <v>167</v>
      </c>
      <c r="E1187" s="1" t="s">
        <v>1377</v>
      </c>
      <c r="F1187" s="1" t="s">
        <v>39</v>
      </c>
      <c r="I1187" s="1" t="s">
        <v>1378</v>
      </c>
      <c r="L1187" s="1" t="s">
        <v>43</v>
      </c>
      <c r="M1187" s="1">
        <v>25167.85</v>
      </c>
      <c r="AG1187" s="1">
        <v>25167.85</v>
      </c>
      <c r="AH1187" s="2">
        <v>45237</v>
      </c>
      <c r="AI1187" s="2">
        <v>45291</v>
      </c>
      <c r="AJ1187" s="2">
        <v>45237</v>
      </c>
    </row>
    <row r="1188" spans="1:36">
      <c r="A1188" s="1" t="str">
        <f>"A0270F8E62"</f>
        <v>A0270F8E62</v>
      </c>
      <c r="B1188" s="1" t="str">
        <f t="shared" si="24"/>
        <v>02406911202</v>
      </c>
      <c r="C1188" s="1" t="s">
        <v>13</v>
      </c>
      <c r="D1188" s="1" t="s">
        <v>167</v>
      </c>
      <c r="E1188" s="1" t="s">
        <v>1380</v>
      </c>
      <c r="F1188" s="1" t="s">
        <v>151</v>
      </c>
      <c r="G1188" s="1" t="str">
        <f>"01818301200"</f>
        <v>01818301200</v>
      </c>
      <c r="I1188" s="1" t="s">
        <v>1217</v>
      </c>
      <c r="L1188" s="1" t="s">
        <v>43</v>
      </c>
      <c r="M1188" s="1">
        <v>41300</v>
      </c>
      <c r="AG1188" s="1">
        <v>0</v>
      </c>
      <c r="AH1188" s="2">
        <v>45238</v>
      </c>
      <c r="AI1188" s="2">
        <v>45291</v>
      </c>
      <c r="AJ1188" s="2">
        <v>45238</v>
      </c>
    </row>
    <row r="1189" spans="1:36">
      <c r="A1189" s="1" t="str">
        <f>"A0272364D1"</f>
        <v>A0272364D1</v>
      </c>
      <c r="B1189" s="1" t="str">
        <f t="shared" si="24"/>
        <v>02406911202</v>
      </c>
      <c r="C1189" s="1" t="s">
        <v>13</v>
      </c>
      <c r="D1189" s="1" t="s">
        <v>167</v>
      </c>
      <c r="E1189" s="1" t="s">
        <v>1381</v>
      </c>
      <c r="F1189" s="1" t="s">
        <v>39</v>
      </c>
      <c r="G1189" s="1" t="str">
        <f>"02974560100"</f>
        <v>02974560100</v>
      </c>
      <c r="I1189" s="1" t="s">
        <v>1110</v>
      </c>
      <c r="L1189" s="1" t="s">
        <v>43</v>
      </c>
      <c r="M1189" s="1">
        <v>343576</v>
      </c>
      <c r="AG1189" s="1">
        <v>0</v>
      </c>
      <c r="AH1189" s="2">
        <v>45241</v>
      </c>
      <c r="AI1189" s="2">
        <v>45422</v>
      </c>
      <c r="AJ1189" s="2">
        <v>45241</v>
      </c>
    </row>
    <row r="1190" spans="1:36">
      <c r="A1190" s="1" t="str">
        <f>"A029395EB6"</f>
        <v>A029395EB6</v>
      </c>
      <c r="B1190" s="1" t="str">
        <f t="shared" si="24"/>
        <v>02406911202</v>
      </c>
      <c r="C1190" s="1" t="s">
        <v>13</v>
      </c>
      <c r="D1190" s="1" t="s">
        <v>164</v>
      </c>
      <c r="E1190" s="1" t="s">
        <v>1382</v>
      </c>
      <c r="F1190" s="1" t="s">
        <v>39</v>
      </c>
      <c r="G1190" s="1" t="str">
        <f>"05994810488"</f>
        <v>05994810488</v>
      </c>
      <c r="I1190" s="1" t="s">
        <v>513</v>
      </c>
      <c r="L1190" s="1" t="s">
        <v>43</v>
      </c>
      <c r="M1190" s="1">
        <v>25600</v>
      </c>
      <c r="AG1190" s="1">
        <v>0</v>
      </c>
      <c r="AH1190" s="2">
        <v>45217</v>
      </c>
      <c r="AI1190" s="2">
        <v>45291</v>
      </c>
      <c r="AJ1190" s="2">
        <v>45217</v>
      </c>
    </row>
    <row r="1191" spans="1:36">
      <c r="A1191" s="1" t="str">
        <f>"A02BBE965B"</f>
        <v>A02BBE965B</v>
      </c>
      <c r="B1191" s="1" t="str">
        <f t="shared" si="24"/>
        <v>02406911202</v>
      </c>
      <c r="C1191" s="1" t="s">
        <v>13</v>
      </c>
      <c r="D1191" s="1" t="s">
        <v>167</v>
      </c>
      <c r="E1191" s="1" t="s">
        <v>1383</v>
      </c>
      <c r="F1191" s="1" t="s">
        <v>39</v>
      </c>
      <c r="G1191" s="1" t="str">
        <f>"10852890150"</f>
        <v>10852890150</v>
      </c>
      <c r="I1191" s="1" t="s">
        <v>455</v>
      </c>
      <c r="L1191" s="1" t="s">
        <v>43</v>
      </c>
      <c r="M1191" s="1">
        <v>35479.57</v>
      </c>
      <c r="AG1191" s="1">
        <v>0</v>
      </c>
      <c r="AH1191" s="2">
        <v>45246</v>
      </c>
      <c r="AI1191" s="2">
        <v>45443</v>
      </c>
      <c r="AJ1191" s="2">
        <v>45246</v>
      </c>
    </row>
    <row r="1192" spans="1:36">
      <c r="A1192" s="1" t="str">
        <f>"A02BC2CDA3"</f>
        <v>A02BC2CDA3</v>
      </c>
      <c r="B1192" s="1" t="str">
        <f t="shared" si="24"/>
        <v>02406911202</v>
      </c>
      <c r="C1192" s="1" t="s">
        <v>13</v>
      </c>
      <c r="D1192" s="1" t="s">
        <v>167</v>
      </c>
      <c r="E1192" s="1" t="s">
        <v>1384</v>
      </c>
      <c r="F1192" s="1" t="s">
        <v>39</v>
      </c>
      <c r="G1192" s="1" t="str">
        <f>"12679540968"</f>
        <v>12679540968</v>
      </c>
      <c r="I1192" s="1" t="s">
        <v>1385</v>
      </c>
      <c r="L1192" s="1" t="s">
        <v>43</v>
      </c>
      <c r="M1192" s="1">
        <v>191646.95</v>
      </c>
      <c r="AG1192" s="1">
        <v>0</v>
      </c>
      <c r="AH1192" s="2">
        <v>45246</v>
      </c>
      <c r="AI1192" s="2">
        <v>45443</v>
      </c>
      <c r="AJ1192" s="2">
        <v>45246</v>
      </c>
    </row>
    <row r="1193" spans="1:36">
      <c r="A1193" s="1" t="str">
        <f>"A02C12BD1A"</f>
        <v>A02C12BD1A</v>
      </c>
      <c r="B1193" s="1" t="str">
        <f t="shared" si="24"/>
        <v>02406911202</v>
      </c>
      <c r="C1193" s="1" t="s">
        <v>13</v>
      </c>
      <c r="D1193" s="1" t="s">
        <v>167</v>
      </c>
      <c r="E1193" s="1" t="s">
        <v>1386</v>
      </c>
      <c r="F1193" s="1" t="s">
        <v>151</v>
      </c>
      <c r="G1193" s="1" t="str">
        <f>"04192740969"</f>
        <v>04192740969</v>
      </c>
      <c r="I1193" s="1" t="s">
        <v>1005</v>
      </c>
      <c r="L1193" s="1" t="s">
        <v>43</v>
      </c>
      <c r="M1193" s="1">
        <v>2298.4</v>
      </c>
      <c r="AG1193" s="1">
        <v>0</v>
      </c>
      <c r="AH1193" s="2">
        <v>45246</v>
      </c>
      <c r="AI1193" s="2">
        <v>45976</v>
      </c>
      <c r="AJ1193" s="2">
        <v>45246</v>
      </c>
    </row>
    <row r="1194" spans="1:36">
      <c r="A1194" s="1" t="str">
        <f>"A02C13BA4F"</f>
        <v>A02C13BA4F</v>
      </c>
      <c r="B1194" s="1" t="str">
        <f t="shared" si="24"/>
        <v>02406911202</v>
      </c>
      <c r="C1194" s="1" t="s">
        <v>13</v>
      </c>
      <c r="D1194" s="1" t="s">
        <v>167</v>
      </c>
      <c r="E1194" s="1" t="s">
        <v>1387</v>
      </c>
      <c r="F1194" s="1" t="s">
        <v>151</v>
      </c>
      <c r="G1194" s="1" t="str">
        <f>"09273000969"</f>
        <v>09273000969</v>
      </c>
      <c r="I1194" s="1" t="s">
        <v>1007</v>
      </c>
      <c r="L1194" s="1" t="s">
        <v>43</v>
      </c>
      <c r="M1194" s="1">
        <v>10800</v>
      </c>
      <c r="AG1194" s="1">
        <v>0</v>
      </c>
      <c r="AH1194" s="2">
        <v>45246</v>
      </c>
      <c r="AI1194" s="2">
        <v>45976</v>
      </c>
      <c r="AJ1194" s="2">
        <v>45246</v>
      </c>
    </row>
    <row r="1195" spans="1:36">
      <c r="A1195" s="1" t="str">
        <f>"A02C145292"</f>
        <v>A02C145292</v>
      </c>
      <c r="B1195" s="1" t="str">
        <f t="shared" si="24"/>
        <v>02406911202</v>
      </c>
      <c r="C1195" s="1" t="s">
        <v>13</v>
      </c>
      <c r="D1195" s="1" t="s">
        <v>167</v>
      </c>
      <c r="E1195" s="1" t="s">
        <v>1388</v>
      </c>
      <c r="F1195" s="1" t="s">
        <v>151</v>
      </c>
      <c r="G1195" s="1" t="str">
        <f>"04192740969"</f>
        <v>04192740969</v>
      </c>
      <c r="I1195" s="1" t="s">
        <v>1005</v>
      </c>
      <c r="L1195" s="1" t="s">
        <v>43</v>
      </c>
      <c r="M1195" s="1">
        <v>630</v>
      </c>
      <c r="AG1195" s="1">
        <v>0</v>
      </c>
      <c r="AH1195" s="2">
        <v>45246</v>
      </c>
      <c r="AI1195" s="2">
        <v>45976</v>
      </c>
      <c r="AJ1195" s="2">
        <v>45246</v>
      </c>
    </row>
    <row r="1196" spans="1:36">
      <c r="A1196" s="1" t="str">
        <f>"A02C159313"</f>
        <v>A02C159313</v>
      </c>
      <c r="B1196" s="1" t="str">
        <f t="shared" si="24"/>
        <v>02406911202</v>
      </c>
      <c r="C1196" s="1" t="s">
        <v>13</v>
      </c>
      <c r="D1196" s="1" t="s">
        <v>167</v>
      </c>
      <c r="E1196" s="1" t="s">
        <v>1389</v>
      </c>
      <c r="F1196" s="1" t="s">
        <v>151</v>
      </c>
      <c r="G1196" s="1" t="str">
        <f>"09273000969"</f>
        <v>09273000969</v>
      </c>
      <c r="I1196" s="1" t="s">
        <v>1007</v>
      </c>
      <c r="L1196" s="1" t="s">
        <v>43</v>
      </c>
      <c r="M1196" s="1">
        <v>36460</v>
      </c>
      <c r="AG1196" s="1">
        <v>0</v>
      </c>
      <c r="AH1196" s="2">
        <v>45246</v>
      </c>
      <c r="AI1196" s="2">
        <v>45976</v>
      </c>
      <c r="AJ1196" s="2">
        <v>45246</v>
      </c>
    </row>
    <row r="1197" spans="1:36">
      <c r="A1197" s="1" t="str">
        <f>"A02C185761"</f>
        <v>A02C185761</v>
      </c>
      <c r="B1197" s="1" t="str">
        <f t="shared" si="24"/>
        <v>02406911202</v>
      </c>
      <c r="C1197" s="1" t="s">
        <v>13</v>
      </c>
      <c r="D1197" s="1" t="s">
        <v>167</v>
      </c>
      <c r="E1197" s="1" t="s">
        <v>1390</v>
      </c>
      <c r="F1197" s="1" t="s">
        <v>151</v>
      </c>
      <c r="G1197" s="1" t="str">
        <f>"04192740969"</f>
        <v>04192740969</v>
      </c>
      <c r="I1197" s="1" t="s">
        <v>1005</v>
      </c>
      <c r="L1197" s="1" t="s">
        <v>43</v>
      </c>
      <c r="M1197" s="1">
        <v>18672</v>
      </c>
      <c r="AG1197" s="1">
        <v>0</v>
      </c>
      <c r="AH1197" s="2">
        <v>45246</v>
      </c>
      <c r="AI1197" s="2">
        <v>45976</v>
      </c>
      <c r="AJ1197" s="2">
        <v>45246</v>
      </c>
    </row>
    <row r="1198" spans="1:36">
      <c r="A1198" s="1" t="str">
        <f>"A02C189AAD"</f>
        <v>A02C189AAD</v>
      </c>
      <c r="B1198" s="1" t="str">
        <f t="shared" si="24"/>
        <v>02406911202</v>
      </c>
      <c r="C1198" s="1" t="s">
        <v>13</v>
      </c>
      <c r="D1198" s="1" t="s">
        <v>167</v>
      </c>
      <c r="E1198" s="1" t="s">
        <v>1391</v>
      </c>
      <c r="F1198" s="1" t="s">
        <v>151</v>
      </c>
      <c r="G1198" s="1" t="str">
        <f>"04192740969"</f>
        <v>04192740969</v>
      </c>
      <c r="I1198" s="1" t="s">
        <v>1005</v>
      </c>
      <c r="L1198" s="1" t="s">
        <v>43</v>
      </c>
      <c r="M1198" s="1">
        <v>15200</v>
      </c>
      <c r="AG1198" s="1">
        <v>0</v>
      </c>
      <c r="AH1198" s="2">
        <v>45246</v>
      </c>
      <c r="AI1198" s="2">
        <v>45976</v>
      </c>
      <c r="AJ1198" s="2">
        <v>45246</v>
      </c>
    </row>
    <row r="1199" spans="1:36">
      <c r="A1199" s="1" t="str">
        <f>"A02C19114A"</f>
        <v>A02C19114A</v>
      </c>
      <c r="B1199" s="1" t="str">
        <f t="shared" si="24"/>
        <v>02406911202</v>
      </c>
      <c r="C1199" s="1" t="s">
        <v>13</v>
      </c>
      <c r="D1199" s="1" t="s">
        <v>167</v>
      </c>
      <c r="E1199" s="1" t="s">
        <v>1392</v>
      </c>
      <c r="F1199" s="1" t="s">
        <v>151</v>
      </c>
      <c r="G1199" s="1" t="str">
        <f>"04192740969"</f>
        <v>04192740969</v>
      </c>
      <c r="I1199" s="1" t="s">
        <v>1005</v>
      </c>
      <c r="L1199" s="1" t="s">
        <v>43</v>
      </c>
      <c r="M1199" s="1">
        <v>4090</v>
      </c>
      <c r="AG1199" s="1">
        <v>0</v>
      </c>
      <c r="AH1199" s="2">
        <v>45246</v>
      </c>
      <c r="AI1199" s="2">
        <v>45976</v>
      </c>
      <c r="AJ1199" s="2">
        <v>45246</v>
      </c>
    </row>
    <row r="1200" spans="1:36">
      <c r="A1200" s="1" t="str">
        <f>"A02C19A8B5"</f>
        <v>A02C19A8B5</v>
      </c>
      <c r="B1200" s="1" t="str">
        <f t="shared" si="24"/>
        <v>02406911202</v>
      </c>
      <c r="C1200" s="1" t="s">
        <v>13</v>
      </c>
      <c r="D1200" s="1" t="s">
        <v>167</v>
      </c>
      <c r="E1200" s="1" t="s">
        <v>1393</v>
      </c>
      <c r="F1200" s="1" t="s">
        <v>151</v>
      </c>
      <c r="G1200" s="1" t="str">
        <f>"06111530637"</f>
        <v>06111530637</v>
      </c>
      <c r="I1200" s="1" t="s">
        <v>1073</v>
      </c>
      <c r="L1200" s="1" t="s">
        <v>43</v>
      </c>
      <c r="M1200" s="1">
        <v>1776</v>
      </c>
      <c r="AG1200" s="1">
        <v>0</v>
      </c>
      <c r="AH1200" s="2">
        <v>45246</v>
      </c>
      <c r="AI1200" s="2">
        <v>45976</v>
      </c>
      <c r="AJ1200" s="2">
        <v>45246</v>
      </c>
    </row>
    <row r="1201" spans="1:36">
      <c r="A1201" s="1" t="str">
        <f>"A02C1B1BAF"</f>
        <v>A02C1B1BAF</v>
      </c>
      <c r="B1201" s="1" t="str">
        <f t="shared" si="24"/>
        <v>02406911202</v>
      </c>
      <c r="C1201" s="1" t="s">
        <v>13</v>
      </c>
      <c r="D1201" s="1" t="s">
        <v>167</v>
      </c>
      <c r="E1201" s="1" t="s">
        <v>1394</v>
      </c>
      <c r="F1201" s="1" t="s">
        <v>151</v>
      </c>
      <c r="G1201" s="1" t="str">
        <f>"06111530637"</f>
        <v>06111530637</v>
      </c>
      <c r="I1201" s="1" t="s">
        <v>1073</v>
      </c>
      <c r="L1201" s="1" t="s">
        <v>43</v>
      </c>
      <c r="M1201" s="1">
        <v>620</v>
      </c>
      <c r="AG1201" s="1">
        <v>0</v>
      </c>
      <c r="AH1201" s="2">
        <v>45246</v>
      </c>
      <c r="AI1201" s="2">
        <v>45976</v>
      </c>
      <c r="AJ1201" s="2">
        <v>45246</v>
      </c>
    </row>
    <row r="1202" spans="1:36">
      <c r="A1202" s="1" t="str">
        <f>"A02C1D26EC"</f>
        <v>A02C1D26EC</v>
      </c>
      <c r="B1202" s="1" t="str">
        <f t="shared" si="24"/>
        <v>02406911202</v>
      </c>
      <c r="C1202" s="1" t="s">
        <v>13</v>
      </c>
      <c r="D1202" s="1" t="s">
        <v>167</v>
      </c>
      <c r="E1202" s="1" t="s">
        <v>1395</v>
      </c>
      <c r="F1202" s="1" t="s">
        <v>151</v>
      </c>
      <c r="G1202" s="1" t="str">
        <f>"06111530637"</f>
        <v>06111530637</v>
      </c>
      <c r="I1202" s="1" t="s">
        <v>1073</v>
      </c>
      <c r="L1202" s="1" t="s">
        <v>43</v>
      </c>
      <c r="M1202" s="1">
        <v>18000</v>
      </c>
      <c r="AG1202" s="1">
        <v>0</v>
      </c>
      <c r="AH1202" s="2">
        <v>45246</v>
      </c>
      <c r="AI1202" s="2">
        <v>45976</v>
      </c>
      <c r="AJ1202" s="2">
        <v>45246</v>
      </c>
    </row>
    <row r="1203" spans="1:36">
      <c r="A1203" s="1" t="str">
        <f>"A02C1F0FAB"</f>
        <v>A02C1F0FAB</v>
      </c>
      <c r="B1203" s="1" t="str">
        <f t="shared" si="24"/>
        <v>02406911202</v>
      </c>
      <c r="C1203" s="1" t="s">
        <v>13</v>
      </c>
      <c r="D1203" s="1" t="s">
        <v>167</v>
      </c>
      <c r="E1203" s="1" t="s">
        <v>1396</v>
      </c>
      <c r="F1203" s="1" t="s">
        <v>151</v>
      </c>
      <c r="G1203" s="1" t="str">
        <f>"06111530637"</f>
        <v>06111530637</v>
      </c>
      <c r="I1203" s="1" t="s">
        <v>1073</v>
      </c>
      <c r="L1203" s="1" t="s">
        <v>43</v>
      </c>
      <c r="M1203" s="1">
        <v>11200</v>
      </c>
      <c r="AG1203" s="1">
        <v>0</v>
      </c>
      <c r="AH1203" s="2">
        <v>45246</v>
      </c>
      <c r="AI1203" s="2">
        <v>45976</v>
      </c>
      <c r="AJ1203" s="2">
        <v>45246</v>
      </c>
    </row>
    <row r="1204" spans="1:36">
      <c r="A1204" s="1" t="str">
        <f>"A02C2061D7"</f>
        <v>A02C2061D7</v>
      </c>
      <c r="B1204" s="1" t="str">
        <f t="shared" si="24"/>
        <v>02406911202</v>
      </c>
      <c r="C1204" s="1" t="s">
        <v>13</v>
      </c>
      <c r="D1204" s="1" t="s">
        <v>167</v>
      </c>
      <c r="E1204" s="1" t="s">
        <v>1397</v>
      </c>
      <c r="F1204" s="1" t="s">
        <v>151</v>
      </c>
      <c r="G1204" s="1" t="str">
        <f>"04192740969"</f>
        <v>04192740969</v>
      </c>
      <c r="I1204" s="1" t="s">
        <v>1005</v>
      </c>
      <c r="L1204" s="1" t="s">
        <v>43</v>
      </c>
      <c r="M1204" s="1">
        <v>720</v>
      </c>
      <c r="AG1204" s="1">
        <v>0</v>
      </c>
      <c r="AH1204" s="2">
        <v>45246</v>
      </c>
      <c r="AI1204" s="2">
        <v>45976</v>
      </c>
      <c r="AJ1204" s="2">
        <v>45246</v>
      </c>
    </row>
    <row r="1205" spans="1:36">
      <c r="A1205" s="1" t="str">
        <f>"A02C212BBB"</f>
        <v>A02C212BBB</v>
      </c>
      <c r="B1205" s="1" t="str">
        <f t="shared" si="24"/>
        <v>02406911202</v>
      </c>
      <c r="C1205" s="1" t="s">
        <v>13</v>
      </c>
      <c r="D1205" s="1" t="s">
        <v>167</v>
      </c>
      <c r="E1205" s="1" t="s">
        <v>1398</v>
      </c>
      <c r="F1205" s="1" t="s">
        <v>151</v>
      </c>
      <c r="G1205" s="1" t="str">
        <f>"06111530637"</f>
        <v>06111530637</v>
      </c>
      <c r="I1205" s="1" t="s">
        <v>1073</v>
      </c>
      <c r="L1205" s="1" t="s">
        <v>43</v>
      </c>
      <c r="M1205" s="1">
        <v>660</v>
      </c>
      <c r="AG1205" s="1">
        <v>0</v>
      </c>
      <c r="AH1205" s="2">
        <v>45246</v>
      </c>
      <c r="AI1205" s="2">
        <v>45976</v>
      </c>
      <c r="AJ1205" s="2">
        <v>45246</v>
      </c>
    </row>
    <row r="1206" spans="1:36">
      <c r="A1206" s="1" t="str">
        <f>"A02C2180B2"</f>
        <v>A02C2180B2</v>
      </c>
      <c r="B1206" s="1" t="str">
        <f t="shared" si="24"/>
        <v>02406911202</v>
      </c>
      <c r="C1206" s="1" t="s">
        <v>13</v>
      </c>
      <c r="D1206" s="1" t="s">
        <v>167</v>
      </c>
      <c r="E1206" s="1" t="s">
        <v>1399</v>
      </c>
      <c r="F1206" s="1" t="s">
        <v>151</v>
      </c>
      <c r="G1206" s="1" t="str">
        <f>"04192740969"</f>
        <v>04192740969</v>
      </c>
      <c r="I1206" s="1" t="s">
        <v>1005</v>
      </c>
      <c r="L1206" s="1" t="s">
        <v>43</v>
      </c>
      <c r="M1206" s="1">
        <v>100.8</v>
      </c>
      <c r="AG1206" s="1">
        <v>0</v>
      </c>
      <c r="AH1206" s="2">
        <v>45246</v>
      </c>
      <c r="AI1206" s="2">
        <v>45976</v>
      </c>
      <c r="AJ1206" s="2">
        <v>45246</v>
      </c>
    </row>
    <row r="1207" spans="1:36">
      <c r="A1207" s="1" t="str">
        <f>"A02C2239C3"</f>
        <v>A02C2239C3</v>
      </c>
      <c r="B1207" s="1" t="str">
        <f t="shared" si="24"/>
        <v>02406911202</v>
      </c>
      <c r="C1207" s="1" t="s">
        <v>13</v>
      </c>
      <c r="D1207" s="1" t="s">
        <v>167</v>
      </c>
      <c r="E1207" s="1" t="s">
        <v>1400</v>
      </c>
      <c r="F1207" s="1" t="s">
        <v>151</v>
      </c>
      <c r="G1207" s="1" t="str">
        <f>"04192740969"</f>
        <v>04192740969</v>
      </c>
      <c r="I1207" s="1" t="s">
        <v>1005</v>
      </c>
      <c r="L1207" s="1" t="s">
        <v>43</v>
      </c>
      <c r="M1207" s="1">
        <v>318</v>
      </c>
      <c r="AG1207" s="1">
        <v>0</v>
      </c>
      <c r="AH1207" s="2">
        <v>45246</v>
      </c>
      <c r="AI1207" s="2">
        <v>45976</v>
      </c>
      <c r="AJ1207" s="2">
        <v>45246</v>
      </c>
    </row>
    <row r="1208" spans="1:36">
      <c r="A1208" s="1" t="str">
        <f>"A02C227D0F"</f>
        <v>A02C227D0F</v>
      </c>
      <c r="B1208" s="1" t="str">
        <f t="shared" si="24"/>
        <v>02406911202</v>
      </c>
      <c r="C1208" s="1" t="s">
        <v>13</v>
      </c>
      <c r="D1208" s="1" t="s">
        <v>167</v>
      </c>
      <c r="E1208" s="1" t="s">
        <v>1401</v>
      </c>
      <c r="F1208" s="1" t="s">
        <v>151</v>
      </c>
      <c r="G1208" s="1" t="str">
        <f>"04192740969"</f>
        <v>04192740969</v>
      </c>
      <c r="I1208" s="1" t="s">
        <v>1005</v>
      </c>
      <c r="L1208" s="1" t="s">
        <v>43</v>
      </c>
      <c r="M1208" s="1">
        <v>115.5</v>
      </c>
      <c r="AG1208" s="1">
        <v>0</v>
      </c>
      <c r="AH1208" s="2">
        <v>45246</v>
      </c>
      <c r="AI1208" s="2">
        <v>45976</v>
      </c>
      <c r="AJ1208" s="2">
        <v>45246</v>
      </c>
    </row>
    <row r="1209" spans="1:36">
      <c r="A1209" s="1" t="str">
        <f>"A02C2336F8"</f>
        <v>A02C2336F8</v>
      </c>
      <c r="B1209" s="1" t="str">
        <f t="shared" si="24"/>
        <v>02406911202</v>
      </c>
      <c r="C1209" s="1" t="s">
        <v>13</v>
      </c>
      <c r="D1209" s="1" t="s">
        <v>167</v>
      </c>
      <c r="E1209" s="1" t="s">
        <v>1402</v>
      </c>
      <c r="F1209" s="1" t="s">
        <v>151</v>
      </c>
      <c r="G1209" s="1" t="str">
        <f>"04192740969"</f>
        <v>04192740969</v>
      </c>
      <c r="I1209" s="1" t="s">
        <v>1005</v>
      </c>
      <c r="L1209" s="1" t="s">
        <v>43</v>
      </c>
      <c r="M1209" s="1">
        <v>123.2</v>
      </c>
      <c r="AG1209" s="1">
        <v>0</v>
      </c>
      <c r="AH1209" s="2">
        <v>45246</v>
      </c>
      <c r="AI1209" s="2">
        <v>45976</v>
      </c>
      <c r="AJ1209" s="2">
        <v>45246</v>
      </c>
    </row>
    <row r="1210" spans="1:36">
      <c r="A1210" s="1" t="str">
        <f>"A02C31D812"</f>
        <v>A02C31D812</v>
      </c>
      <c r="B1210" s="1" t="str">
        <f t="shared" si="24"/>
        <v>02406911202</v>
      </c>
      <c r="C1210" s="1" t="s">
        <v>13</v>
      </c>
      <c r="D1210" s="1" t="s">
        <v>167</v>
      </c>
      <c r="E1210" s="1" t="s">
        <v>1403</v>
      </c>
      <c r="F1210" s="1" t="s">
        <v>151</v>
      </c>
      <c r="G1210" s="1" t="str">
        <f>"00674840152"</f>
        <v>00674840152</v>
      </c>
      <c r="I1210" s="1" t="s">
        <v>87</v>
      </c>
      <c r="L1210" s="1" t="s">
        <v>43</v>
      </c>
      <c r="M1210" s="1">
        <v>45000</v>
      </c>
      <c r="AG1210" s="1">
        <v>0</v>
      </c>
      <c r="AH1210" s="2">
        <v>45250</v>
      </c>
      <c r="AI1210" s="2">
        <v>45615</v>
      </c>
      <c r="AJ1210" s="2">
        <v>45250</v>
      </c>
    </row>
    <row r="1211" spans="1:36">
      <c r="A1211" s="1" t="str">
        <f>"A02C32B3A1"</f>
        <v>A02C32B3A1</v>
      </c>
      <c r="B1211" s="1" t="str">
        <f t="shared" si="24"/>
        <v>02406911202</v>
      </c>
      <c r="C1211" s="1" t="s">
        <v>13</v>
      </c>
      <c r="D1211" s="1" t="s">
        <v>167</v>
      </c>
      <c r="E1211" s="1" t="s">
        <v>1403</v>
      </c>
      <c r="F1211" s="1" t="s">
        <v>151</v>
      </c>
      <c r="G1211" s="1" t="str">
        <f>"09284460962"</f>
        <v>09284460962</v>
      </c>
      <c r="I1211" s="1" t="s">
        <v>1404</v>
      </c>
      <c r="L1211" s="1" t="s">
        <v>43</v>
      </c>
      <c r="M1211" s="1">
        <v>295000</v>
      </c>
      <c r="AG1211" s="1">
        <v>0</v>
      </c>
      <c r="AH1211" s="2">
        <v>45250</v>
      </c>
      <c r="AI1211" s="2">
        <v>45615</v>
      </c>
      <c r="AJ1211" s="2">
        <v>45250</v>
      </c>
    </row>
    <row r="1212" spans="1:36">
      <c r="A1212" s="1" t="str">
        <f>"A02C339F2B"</f>
        <v>A02C339F2B</v>
      </c>
      <c r="B1212" s="1" t="str">
        <f t="shared" si="24"/>
        <v>02406911202</v>
      </c>
      <c r="C1212" s="1" t="s">
        <v>13</v>
      </c>
      <c r="D1212" s="1" t="s">
        <v>167</v>
      </c>
      <c r="E1212" s="1" t="s">
        <v>1403</v>
      </c>
      <c r="F1212" s="1" t="s">
        <v>151</v>
      </c>
      <c r="G1212" s="1" t="str">
        <f>"09238800156"</f>
        <v>09238800156</v>
      </c>
      <c r="I1212" s="1" t="s">
        <v>92</v>
      </c>
      <c r="L1212" s="1" t="s">
        <v>43</v>
      </c>
      <c r="M1212" s="1">
        <v>50000</v>
      </c>
      <c r="AG1212" s="1">
        <v>0</v>
      </c>
      <c r="AH1212" s="2">
        <v>45250</v>
      </c>
      <c r="AI1212" s="2">
        <v>45615</v>
      </c>
      <c r="AJ1212" s="2">
        <v>45250</v>
      </c>
    </row>
    <row r="1213" spans="1:36">
      <c r="A1213" s="1" t="str">
        <f>"A02C34376E"</f>
        <v>A02C34376E</v>
      </c>
      <c r="B1213" s="1" t="str">
        <f t="shared" si="24"/>
        <v>02406911202</v>
      </c>
      <c r="C1213" s="1" t="s">
        <v>13</v>
      </c>
      <c r="D1213" s="1" t="s">
        <v>167</v>
      </c>
      <c r="E1213" s="1" t="s">
        <v>1403</v>
      </c>
      <c r="F1213" s="1" t="s">
        <v>151</v>
      </c>
      <c r="G1213" s="1" t="str">
        <f>"07077990013"</f>
        <v>07077990013</v>
      </c>
      <c r="I1213" s="1" t="s">
        <v>554</v>
      </c>
      <c r="L1213" s="1" t="s">
        <v>43</v>
      </c>
      <c r="M1213" s="1">
        <v>40000</v>
      </c>
      <c r="AG1213" s="1">
        <v>0</v>
      </c>
      <c r="AH1213" s="2">
        <v>45250</v>
      </c>
      <c r="AI1213" s="2">
        <v>45615</v>
      </c>
      <c r="AJ1213" s="2">
        <v>45250</v>
      </c>
    </row>
    <row r="1214" spans="1:36">
      <c r="A1214" s="1" t="str">
        <f>"A02C8AACB6"</f>
        <v>A02C8AACB6</v>
      </c>
      <c r="B1214" s="1" t="str">
        <f t="shared" si="24"/>
        <v>02406911202</v>
      </c>
      <c r="C1214" s="1" t="s">
        <v>13</v>
      </c>
      <c r="D1214" s="1" t="s">
        <v>167</v>
      </c>
      <c r="E1214" s="1" t="s">
        <v>1405</v>
      </c>
      <c r="F1214" s="1" t="s">
        <v>39</v>
      </c>
      <c r="G1214" s="1" t="str">
        <f>"10352790157"</f>
        <v>10352790157</v>
      </c>
      <c r="I1214" s="1" t="s">
        <v>1375</v>
      </c>
      <c r="L1214" s="1" t="s">
        <v>43</v>
      </c>
      <c r="M1214" s="1">
        <v>52000</v>
      </c>
      <c r="AG1214" s="1">
        <v>0</v>
      </c>
      <c r="AH1214" s="2">
        <v>45261</v>
      </c>
      <c r="AI1214" s="2">
        <v>45291</v>
      </c>
      <c r="AJ1214" s="2">
        <v>45261</v>
      </c>
    </row>
    <row r="1215" spans="1:36">
      <c r="A1215" s="1" t="str">
        <f>"A02CA4A404"</f>
        <v>A02CA4A404</v>
      </c>
      <c r="B1215" s="1" t="str">
        <f t="shared" si="24"/>
        <v>02406911202</v>
      </c>
      <c r="C1215" s="1" t="s">
        <v>13</v>
      </c>
      <c r="D1215" s="1" t="s">
        <v>167</v>
      </c>
      <c r="E1215" s="1" t="s">
        <v>1406</v>
      </c>
      <c r="F1215" s="1" t="s">
        <v>151</v>
      </c>
      <c r="G1215" s="1" t="str">
        <f>"09521810961"</f>
        <v>09521810961</v>
      </c>
      <c r="I1215" s="1" t="s">
        <v>1106</v>
      </c>
      <c r="L1215" s="1" t="s">
        <v>43</v>
      </c>
      <c r="M1215" s="1">
        <v>210310</v>
      </c>
      <c r="AG1215" s="1">
        <v>0</v>
      </c>
      <c r="AH1215" s="2">
        <v>45252</v>
      </c>
      <c r="AI1215" s="2">
        <v>45433</v>
      </c>
      <c r="AJ1215" s="2">
        <v>45252</v>
      </c>
    </row>
    <row r="1216" spans="1:36">
      <c r="A1216" s="1" t="str">
        <f>"A02CD7A566"</f>
        <v>A02CD7A566</v>
      </c>
      <c r="B1216" s="1" t="str">
        <f t="shared" si="24"/>
        <v>02406911202</v>
      </c>
      <c r="C1216" s="1" t="s">
        <v>13</v>
      </c>
      <c r="D1216" s="1" t="s">
        <v>167</v>
      </c>
      <c r="E1216" s="1" t="s">
        <v>1407</v>
      </c>
      <c r="F1216" s="1" t="s">
        <v>151</v>
      </c>
      <c r="G1216" s="1" t="str">
        <f>"97103880585"</f>
        <v>97103880585</v>
      </c>
      <c r="I1216" s="1" t="s">
        <v>1408</v>
      </c>
      <c r="L1216" s="1" t="s">
        <v>43</v>
      </c>
      <c r="M1216" s="1">
        <v>52770</v>
      </c>
      <c r="AG1216" s="1">
        <v>0</v>
      </c>
      <c r="AH1216" s="2">
        <v>45246</v>
      </c>
      <c r="AI1216" s="2">
        <v>46523</v>
      </c>
      <c r="AJ1216" s="2">
        <v>45246</v>
      </c>
    </row>
    <row r="1217" spans="1:36">
      <c r="A1217" s="1" t="str">
        <f>"A02F4A14A4"</f>
        <v>A02F4A14A4</v>
      </c>
      <c r="B1217" s="1" t="str">
        <f t="shared" si="24"/>
        <v>02406911202</v>
      </c>
      <c r="C1217" s="1" t="s">
        <v>13</v>
      </c>
      <c r="D1217" s="1" t="s">
        <v>167</v>
      </c>
      <c r="E1217" s="1" t="s">
        <v>1409</v>
      </c>
      <c r="F1217" s="1" t="s">
        <v>39</v>
      </c>
      <c r="G1217" s="1" t="str">
        <f>"02006180364"</f>
        <v>02006180364</v>
      </c>
      <c r="I1217" s="1" t="s">
        <v>1123</v>
      </c>
      <c r="J1217" s="1" t="s">
        <v>1410</v>
      </c>
      <c r="K1217" s="1" t="s">
        <v>141</v>
      </c>
      <c r="AJ1217" s="2">
        <v>45255</v>
      </c>
    </row>
    <row r="1218" spans="1:36">
      <c r="A1218" s="1" t="str">
        <f>"A02F4A14A4"</f>
        <v>A02F4A14A4</v>
      </c>
      <c r="B1218" s="1" t="str">
        <f t="shared" ref="B1218:B1281" si="25">"02406911202"</f>
        <v>02406911202</v>
      </c>
      <c r="C1218" s="1" t="s">
        <v>13</v>
      </c>
      <c r="D1218" s="1" t="s">
        <v>167</v>
      </c>
      <c r="E1218" s="1" t="s">
        <v>1409</v>
      </c>
      <c r="F1218" s="1" t="s">
        <v>39</v>
      </c>
      <c r="G1218" s="1" t="str">
        <f>"02291500409"</f>
        <v>02291500409</v>
      </c>
      <c r="I1218" s="1" t="s">
        <v>1116</v>
      </c>
      <c r="J1218" s="1" t="s">
        <v>1410</v>
      </c>
      <c r="K1218" s="1" t="s">
        <v>139</v>
      </c>
      <c r="AJ1218" s="2">
        <v>45255</v>
      </c>
    </row>
    <row r="1219" spans="1:36">
      <c r="A1219" s="1" t="str">
        <f>"A02F4A14A4"</f>
        <v>A02F4A14A4</v>
      </c>
      <c r="B1219" s="1" t="str">
        <f t="shared" si="25"/>
        <v>02406911202</v>
      </c>
      <c r="C1219" s="1" t="s">
        <v>13</v>
      </c>
      <c r="D1219" s="1" t="s">
        <v>167</v>
      </c>
      <c r="E1219" s="1" t="s">
        <v>1409</v>
      </c>
      <c r="F1219" s="1" t="s">
        <v>39</v>
      </c>
      <c r="G1219" s="1" t="str">
        <f>"01202580377"</f>
        <v>01202580377</v>
      </c>
      <c r="I1219" s="1" t="s">
        <v>1124</v>
      </c>
      <c r="J1219" s="1" t="s">
        <v>1410</v>
      </c>
      <c r="K1219" s="1" t="s">
        <v>141</v>
      </c>
      <c r="AJ1219" s="2">
        <v>45255</v>
      </c>
    </row>
    <row r="1220" spans="1:36">
      <c r="A1220" s="1" t="str">
        <f>"A02F4A14A4"</f>
        <v>A02F4A14A4</v>
      </c>
      <c r="B1220" s="1" t="str">
        <f t="shared" si="25"/>
        <v>02406911202</v>
      </c>
      <c r="C1220" s="1" t="s">
        <v>13</v>
      </c>
      <c r="D1220" s="1" t="s">
        <v>167</v>
      </c>
      <c r="E1220" s="1" t="s">
        <v>1409</v>
      </c>
      <c r="F1220" s="1" t="s">
        <v>39</v>
      </c>
      <c r="G1220" s="1" t="str">
        <f>"04013640372"</f>
        <v>04013640372</v>
      </c>
      <c r="I1220" s="1" t="s">
        <v>1411</v>
      </c>
      <c r="J1220" s="1" t="s">
        <v>1410</v>
      </c>
      <c r="K1220" s="1" t="s">
        <v>141</v>
      </c>
      <c r="AJ1220" s="2">
        <v>45255</v>
      </c>
    </row>
    <row r="1221" spans="1:36">
      <c r="A1221" s="1" t="str">
        <f>"A02F4A14A4"</f>
        <v>A02F4A14A4</v>
      </c>
      <c r="B1221" s="1" t="str">
        <f t="shared" si="25"/>
        <v>02406911202</v>
      </c>
      <c r="C1221" s="1" t="s">
        <v>13</v>
      </c>
      <c r="D1221" s="1" t="s">
        <v>167</v>
      </c>
      <c r="E1221" s="1" t="s">
        <v>1409</v>
      </c>
      <c r="F1221" s="1" t="s">
        <v>39</v>
      </c>
      <c r="I1221" s="1" t="s">
        <v>1410</v>
      </c>
      <c r="L1221" s="1" t="s">
        <v>43</v>
      </c>
      <c r="M1221" s="1">
        <v>0</v>
      </c>
      <c r="AG1221" s="1">
        <v>0</v>
      </c>
      <c r="AH1221" s="2">
        <v>45255</v>
      </c>
      <c r="AI1221" s="2">
        <v>45436</v>
      </c>
      <c r="AJ1221" s="2">
        <v>45255</v>
      </c>
    </row>
    <row r="1222" spans="1:36">
      <c r="A1222" s="1" t="str">
        <f>"A02FBAC486"</f>
        <v>A02FBAC486</v>
      </c>
      <c r="B1222" s="1" t="str">
        <f t="shared" si="25"/>
        <v>02406911202</v>
      </c>
      <c r="C1222" s="1" t="s">
        <v>13</v>
      </c>
      <c r="D1222" s="1" t="s">
        <v>167</v>
      </c>
      <c r="E1222" s="1" t="s">
        <v>1412</v>
      </c>
      <c r="F1222" s="1" t="s">
        <v>151</v>
      </c>
      <c r="G1222" s="1" t="str">
        <f>"04051160234"</f>
        <v>04051160234</v>
      </c>
      <c r="I1222" s="1" t="s">
        <v>1413</v>
      </c>
      <c r="L1222" s="1" t="s">
        <v>43</v>
      </c>
      <c r="M1222" s="1">
        <v>358.8</v>
      </c>
      <c r="AG1222" s="1">
        <v>0</v>
      </c>
      <c r="AH1222" s="2">
        <v>45261</v>
      </c>
      <c r="AI1222" s="2">
        <v>45365</v>
      </c>
      <c r="AJ1222" s="2">
        <v>45261</v>
      </c>
    </row>
    <row r="1223" spans="1:36">
      <c r="A1223" s="1" t="str">
        <f>"A02FBEFBCE"</f>
        <v>A02FBEFBCE</v>
      </c>
      <c r="B1223" s="1" t="str">
        <f t="shared" si="25"/>
        <v>02406911202</v>
      </c>
      <c r="C1223" s="1" t="s">
        <v>13</v>
      </c>
      <c r="D1223" s="1" t="s">
        <v>167</v>
      </c>
      <c r="E1223" s="1" t="s">
        <v>1414</v>
      </c>
      <c r="F1223" s="1" t="s">
        <v>151</v>
      </c>
      <c r="G1223" s="1" t="str">
        <f>"04051160234"</f>
        <v>04051160234</v>
      </c>
      <c r="I1223" s="1" t="s">
        <v>1413</v>
      </c>
      <c r="L1223" s="1" t="s">
        <v>43</v>
      </c>
      <c r="M1223" s="1">
        <v>2306.6</v>
      </c>
      <c r="AG1223" s="1">
        <v>0</v>
      </c>
      <c r="AH1223" s="2">
        <v>45261</v>
      </c>
      <c r="AI1223" s="2">
        <v>45365</v>
      </c>
      <c r="AJ1223" s="2">
        <v>45261</v>
      </c>
    </row>
    <row r="1224" spans="1:36">
      <c r="A1224" s="1" t="str">
        <f>"A02FC1F36D"</f>
        <v>A02FC1F36D</v>
      </c>
      <c r="B1224" s="1" t="str">
        <f t="shared" si="25"/>
        <v>02406911202</v>
      </c>
      <c r="C1224" s="1" t="s">
        <v>13</v>
      </c>
      <c r="D1224" s="1" t="s">
        <v>167</v>
      </c>
      <c r="E1224" s="1" t="s">
        <v>1415</v>
      </c>
      <c r="F1224" s="1" t="s">
        <v>151</v>
      </c>
      <c r="G1224" s="1" t="str">
        <f>"04051160234"</f>
        <v>04051160234</v>
      </c>
      <c r="I1224" s="1" t="s">
        <v>1413</v>
      </c>
      <c r="L1224" s="1" t="s">
        <v>43</v>
      </c>
      <c r="M1224" s="1">
        <v>1437.2</v>
      </c>
      <c r="AG1224" s="1">
        <v>0</v>
      </c>
      <c r="AH1224" s="2">
        <v>45261</v>
      </c>
      <c r="AI1224" s="2">
        <v>45365</v>
      </c>
      <c r="AJ1224" s="2">
        <v>45261</v>
      </c>
    </row>
    <row r="1225" spans="1:36">
      <c r="A1225" s="1" t="str">
        <f>"A0317C5460"</f>
        <v>A0317C5460</v>
      </c>
      <c r="B1225" s="1" t="str">
        <f t="shared" si="25"/>
        <v>02406911202</v>
      </c>
      <c r="C1225" s="1" t="s">
        <v>13</v>
      </c>
      <c r="D1225" s="1" t="s">
        <v>167</v>
      </c>
      <c r="E1225" s="1" t="s">
        <v>1416</v>
      </c>
      <c r="F1225" s="1" t="s">
        <v>151</v>
      </c>
      <c r="G1225" s="1" t="str">
        <f>"00440180545"</f>
        <v>00440180545</v>
      </c>
      <c r="I1225" s="1" t="s">
        <v>1049</v>
      </c>
      <c r="L1225" s="1" t="s">
        <v>43</v>
      </c>
      <c r="M1225" s="1">
        <v>3500</v>
      </c>
      <c r="AG1225" s="1">
        <v>0</v>
      </c>
      <c r="AH1225" s="2">
        <v>45258</v>
      </c>
      <c r="AI1225" s="2">
        <v>45351</v>
      </c>
      <c r="AJ1225" s="2">
        <v>45258</v>
      </c>
    </row>
    <row r="1226" spans="1:36">
      <c r="A1226" s="1" t="str">
        <f>"A0317DC75A"</f>
        <v>A0317DC75A</v>
      </c>
      <c r="B1226" s="1" t="str">
        <f t="shared" si="25"/>
        <v>02406911202</v>
      </c>
      <c r="C1226" s="1" t="s">
        <v>13</v>
      </c>
      <c r="D1226" s="1" t="s">
        <v>167</v>
      </c>
      <c r="E1226" s="1" t="s">
        <v>1416</v>
      </c>
      <c r="F1226" s="1" t="s">
        <v>151</v>
      </c>
      <c r="G1226" s="1" t="str">
        <f>"01471280162"</f>
        <v>01471280162</v>
      </c>
      <c r="I1226" s="1" t="s">
        <v>1050</v>
      </c>
      <c r="L1226" s="1" t="s">
        <v>43</v>
      </c>
      <c r="M1226" s="1">
        <v>24000</v>
      </c>
      <c r="AG1226" s="1">
        <v>0</v>
      </c>
      <c r="AH1226" s="2">
        <v>45258</v>
      </c>
      <c r="AI1226" s="2">
        <v>45351</v>
      </c>
      <c r="AJ1226" s="2">
        <v>45258</v>
      </c>
    </row>
    <row r="1227" spans="1:36">
      <c r="A1227" s="1" t="str">
        <f>"A0317F6CCD"</f>
        <v>A0317F6CCD</v>
      </c>
      <c r="B1227" s="1" t="str">
        <f t="shared" si="25"/>
        <v>02406911202</v>
      </c>
      <c r="C1227" s="1" t="s">
        <v>13</v>
      </c>
      <c r="D1227" s="1" t="s">
        <v>167</v>
      </c>
      <c r="E1227" s="1" t="s">
        <v>1416</v>
      </c>
      <c r="F1227" s="1" t="s">
        <v>151</v>
      </c>
      <c r="G1227" s="1" t="str">
        <f>"MRCFNC59S60A013N"</f>
        <v>MRCFNC59S60A013N</v>
      </c>
      <c r="I1227" s="1" t="s">
        <v>1051</v>
      </c>
      <c r="L1227" s="1" t="s">
        <v>43</v>
      </c>
      <c r="M1227" s="1">
        <v>10000</v>
      </c>
      <c r="AG1227" s="1">
        <v>0</v>
      </c>
      <c r="AH1227" s="2">
        <v>45258</v>
      </c>
      <c r="AI1227" s="2">
        <v>45351</v>
      </c>
      <c r="AJ1227" s="2">
        <v>45258</v>
      </c>
    </row>
    <row r="1228" spans="1:36">
      <c r="A1228" s="1" t="str">
        <f>"A031816737"</f>
        <v>A031816737</v>
      </c>
      <c r="B1228" s="1" t="str">
        <f t="shared" si="25"/>
        <v>02406911202</v>
      </c>
      <c r="C1228" s="1" t="s">
        <v>13</v>
      </c>
      <c r="D1228" s="1" t="s">
        <v>167</v>
      </c>
      <c r="E1228" s="1" t="s">
        <v>1416</v>
      </c>
      <c r="F1228" s="1" t="s">
        <v>151</v>
      </c>
      <c r="G1228" s="1" t="str">
        <f>"00314470121"</f>
        <v>00314470121</v>
      </c>
      <c r="I1228" s="1" t="s">
        <v>878</v>
      </c>
      <c r="L1228" s="1" t="s">
        <v>43</v>
      </c>
      <c r="M1228" s="1">
        <v>3000</v>
      </c>
      <c r="AG1228" s="1">
        <v>0</v>
      </c>
      <c r="AH1228" s="2">
        <v>45258</v>
      </c>
      <c r="AI1228" s="2">
        <v>45351</v>
      </c>
      <c r="AJ1228" s="2">
        <v>45258</v>
      </c>
    </row>
    <row r="1229" spans="1:36">
      <c r="A1229" s="1" t="str">
        <f>"A0318361A1"</f>
        <v>A0318361A1</v>
      </c>
      <c r="B1229" s="1" t="str">
        <f t="shared" si="25"/>
        <v>02406911202</v>
      </c>
      <c r="C1229" s="1" t="s">
        <v>13</v>
      </c>
      <c r="D1229" s="1" t="s">
        <v>167</v>
      </c>
      <c r="E1229" s="1" t="s">
        <v>1416</v>
      </c>
      <c r="F1229" s="1" t="s">
        <v>151</v>
      </c>
      <c r="G1229" s="1" t="str">
        <f>"01693020206"</f>
        <v>01693020206</v>
      </c>
      <c r="I1229" s="1" t="s">
        <v>1052</v>
      </c>
      <c r="L1229" s="1" t="s">
        <v>43</v>
      </c>
      <c r="M1229" s="1">
        <v>1700</v>
      </c>
      <c r="AG1229" s="1">
        <v>0</v>
      </c>
      <c r="AH1229" s="2">
        <v>45258</v>
      </c>
      <c r="AI1229" s="2">
        <v>45351</v>
      </c>
      <c r="AJ1229" s="2">
        <v>45258</v>
      </c>
    </row>
    <row r="1230" spans="1:36">
      <c r="A1230" s="1" t="str">
        <f>"A031D372BE"</f>
        <v>A031D372BE</v>
      </c>
      <c r="B1230" s="1" t="str">
        <f t="shared" si="25"/>
        <v>02406911202</v>
      </c>
      <c r="C1230" s="1" t="s">
        <v>13</v>
      </c>
      <c r="D1230" s="1" t="s">
        <v>167</v>
      </c>
      <c r="E1230" s="1" t="s">
        <v>1417</v>
      </c>
      <c r="F1230" s="1" t="s">
        <v>39</v>
      </c>
      <c r="G1230" s="1" t="str">
        <f>"00803890151"</f>
        <v>00803890151</v>
      </c>
      <c r="I1230" s="1" t="s">
        <v>104</v>
      </c>
      <c r="L1230" s="1" t="s">
        <v>43</v>
      </c>
      <c r="M1230" s="1">
        <v>1278054</v>
      </c>
      <c r="AG1230" s="1">
        <v>0</v>
      </c>
      <c r="AH1230" s="2">
        <v>45276</v>
      </c>
      <c r="AI1230" s="2">
        <v>46371</v>
      </c>
      <c r="AJ1230" s="2">
        <v>45276</v>
      </c>
    </row>
    <row r="1231" spans="1:36">
      <c r="A1231" s="1" t="str">
        <f>"A0325F0578"</f>
        <v>A0325F0578</v>
      </c>
      <c r="B1231" s="1" t="str">
        <f t="shared" si="25"/>
        <v>02406911202</v>
      </c>
      <c r="C1231" s="1" t="s">
        <v>13</v>
      </c>
      <c r="D1231" s="1" t="s">
        <v>164</v>
      </c>
      <c r="E1231" s="1" t="s">
        <v>1418</v>
      </c>
      <c r="F1231" s="1" t="s">
        <v>39</v>
      </c>
      <c r="G1231" s="1" t="str">
        <f>"05724831002"</f>
        <v>05724831002</v>
      </c>
      <c r="I1231" s="1" t="s">
        <v>380</v>
      </c>
      <c r="L1231" s="1" t="s">
        <v>43</v>
      </c>
      <c r="M1231" s="1">
        <v>27980</v>
      </c>
      <c r="AG1231" s="1">
        <v>0</v>
      </c>
      <c r="AH1231" s="2">
        <v>45257</v>
      </c>
      <c r="AI1231" s="2">
        <v>45291</v>
      </c>
      <c r="AJ1231" s="2">
        <v>45257</v>
      </c>
    </row>
    <row r="1232" spans="1:36">
      <c r="A1232" s="1" t="str">
        <f>"A0327615FA"</f>
        <v>A0327615FA</v>
      </c>
      <c r="B1232" s="1" t="str">
        <f t="shared" si="25"/>
        <v>02406911202</v>
      </c>
      <c r="C1232" s="1" t="s">
        <v>13</v>
      </c>
      <c r="D1232" s="1" t="s">
        <v>164</v>
      </c>
      <c r="E1232" s="1" t="s">
        <v>1419</v>
      </c>
      <c r="F1232" s="1" t="s">
        <v>39</v>
      </c>
      <c r="G1232" s="1" t="str">
        <f>"01814170047"</f>
        <v>01814170047</v>
      </c>
      <c r="I1232" s="1" t="s">
        <v>1420</v>
      </c>
      <c r="L1232" s="1" t="s">
        <v>43</v>
      </c>
      <c r="M1232" s="1">
        <v>6014.25</v>
      </c>
      <c r="AG1232" s="1">
        <v>0</v>
      </c>
      <c r="AH1232" s="2">
        <v>45257</v>
      </c>
      <c r="AI1232" s="2">
        <v>45291</v>
      </c>
      <c r="AJ1232" s="2">
        <v>45257</v>
      </c>
    </row>
    <row r="1233" spans="1:36">
      <c r="A1233" s="1" t="str">
        <f>"A032911A78"</f>
        <v>A032911A78</v>
      </c>
      <c r="B1233" s="1" t="str">
        <f t="shared" si="25"/>
        <v>02406911202</v>
      </c>
      <c r="C1233" s="1" t="s">
        <v>13</v>
      </c>
      <c r="D1233" s="1" t="s">
        <v>167</v>
      </c>
      <c r="E1233" s="1" t="s">
        <v>1421</v>
      </c>
      <c r="F1233" s="1" t="s">
        <v>151</v>
      </c>
      <c r="G1233" s="1" t="str">
        <f>"05763890638"</f>
        <v>05763890638</v>
      </c>
      <c r="I1233" s="1" t="s">
        <v>1013</v>
      </c>
      <c r="L1233" s="1" t="s">
        <v>43</v>
      </c>
      <c r="M1233" s="1">
        <v>283800.02</v>
      </c>
      <c r="AG1233" s="1">
        <v>0</v>
      </c>
      <c r="AH1233" s="2">
        <v>45259</v>
      </c>
      <c r="AI1233" s="2">
        <v>45565</v>
      </c>
      <c r="AJ1233" s="2">
        <v>45259</v>
      </c>
    </row>
    <row r="1234" spans="1:36">
      <c r="A1234" s="1" t="str">
        <f>"A033BBA096"</f>
        <v>A033BBA096</v>
      </c>
      <c r="B1234" s="1" t="str">
        <f t="shared" si="25"/>
        <v>02406911202</v>
      </c>
      <c r="C1234" s="1" t="s">
        <v>13</v>
      </c>
      <c r="D1234" s="1" t="s">
        <v>167</v>
      </c>
      <c r="E1234" s="1" t="s">
        <v>1422</v>
      </c>
      <c r="F1234" s="1" t="s">
        <v>39</v>
      </c>
      <c r="G1234" s="1" t="str">
        <f>"09284460962"</f>
        <v>09284460962</v>
      </c>
      <c r="I1234" s="1" t="s">
        <v>1404</v>
      </c>
      <c r="L1234" s="1" t="s">
        <v>43</v>
      </c>
      <c r="M1234" s="1">
        <v>490500</v>
      </c>
      <c r="AG1234" s="1">
        <v>0</v>
      </c>
      <c r="AH1234" s="2">
        <v>45261</v>
      </c>
      <c r="AI1234" s="2">
        <v>45991</v>
      </c>
      <c r="AJ1234" s="2">
        <v>45261</v>
      </c>
    </row>
    <row r="1235" spans="1:36">
      <c r="A1235" s="1" t="str">
        <f>"A034F79C17"</f>
        <v>A034F79C17</v>
      </c>
      <c r="B1235" s="1" t="str">
        <f t="shared" si="25"/>
        <v>02406911202</v>
      </c>
      <c r="C1235" s="1" t="s">
        <v>13</v>
      </c>
      <c r="D1235" s="1" t="s">
        <v>167</v>
      </c>
      <c r="E1235" s="1" t="s">
        <v>1423</v>
      </c>
      <c r="F1235" s="1" t="s">
        <v>39</v>
      </c>
      <c r="G1235" s="1" t="str">
        <f>"00889160156"</f>
        <v>00889160156</v>
      </c>
      <c r="I1235" s="1" t="s">
        <v>1424</v>
      </c>
      <c r="L1235" s="1" t="s">
        <v>43</v>
      </c>
      <c r="M1235" s="1">
        <v>521250</v>
      </c>
      <c r="AG1235" s="1">
        <v>0</v>
      </c>
      <c r="AH1235" s="2">
        <v>45269</v>
      </c>
      <c r="AI1235" s="2">
        <v>45535</v>
      </c>
      <c r="AJ1235" s="2">
        <v>45269</v>
      </c>
    </row>
    <row r="1236" spans="1:36">
      <c r="A1236" s="1" t="str">
        <f>"A035B98CC4"</f>
        <v>A035B98CC4</v>
      </c>
      <c r="B1236" s="1" t="str">
        <f t="shared" si="25"/>
        <v>02406911202</v>
      </c>
      <c r="C1236" s="1" t="s">
        <v>13</v>
      </c>
      <c r="D1236" s="1" t="s">
        <v>167</v>
      </c>
      <c r="E1236" s="1" t="s">
        <v>1425</v>
      </c>
      <c r="F1236" s="1" t="s">
        <v>151</v>
      </c>
      <c r="G1236" s="1" t="str">
        <f>"11264670156"</f>
        <v>11264670156</v>
      </c>
      <c r="I1236" s="1" t="s">
        <v>66</v>
      </c>
      <c r="L1236" s="1" t="s">
        <v>43</v>
      </c>
      <c r="M1236" s="1">
        <v>81967.210000000006</v>
      </c>
      <c r="AG1236" s="1">
        <v>0</v>
      </c>
      <c r="AH1236" s="2">
        <v>45261</v>
      </c>
      <c r="AI1236" s="2">
        <v>45443</v>
      </c>
      <c r="AJ1236" s="2">
        <v>45261</v>
      </c>
    </row>
    <row r="1237" spans="1:36">
      <c r="A1237" s="1" t="str">
        <f>"A035C52644"</f>
        <v>A035C52644</v>
      </c>
      <c r="B1237" s="1" t="str">
        <f t="shared" si="25"/>
        <v>02406911202</v>
      </c>
      <c r="C1237" s="1" t="s">
        <v>13</v>
      </c>
      <c r="D1237" s="1" t="s">
        <v>167</v>
      </c>
      <c r="E1237" s="1" t="s">
        <v>1425</v>
      </c>
      <c r="F1237" s="1" t="s">
        <v>1426</v>
      </c>
      <c r="G1237" s="1" t="str">
        <f>"08862820969"</f>
        <v>08862820969</v>
      </c>
      <c r="I1237" s="1" t="s">
        <v>147</v>
      </c>
      <c r="L1237" s="1" t="s">
        <v>43</v>
      </c>
      <c r="M1237" s="1">
        <v>40983.61</v>
      </c>
      <c r="AG1237" s="1">
        <v>0</v>
      </c>
      <c r="AH1237" s="2">
        <v>45261</v>
      </c>
      <c r="AI1237" s="2">
        <v>45443</v>
      </c>
      <c r="AJ1237" s="2">
        <v>45261</v>
      </c>
    </row>
    <row r="1238" spans="1:36">
      <c r="A1238" s="1" t="str">
        <f>"A035C79673"</f>
        <v>A035C79673</v>
      </c>
      <c r="B1238" s="1" t="str">
        <f t="shared" si="25"/>
        <v>02406911202</v>
      </c>
      <c r="C1238" s="1" t="s">
        <v>13</v>
      </c>
      <c r="D1238" s="1" t="s">
        <v>167</v>
      </c>
      <c r="E1238" s="1" t="s">
        <v>1425</v>
      </c>
      <c r="F1238" s="1" t="s">
        <v>151</v>
      </c>
      <c r="G1238" s="1" t="str">
        <f>"00674840152"</f>
        <v>00674840152</v>
      </c>
      <c r="I1238" s="1" t="s">
        <v>87</v>
      </c>
      <c r="L1238" s="1" t="s">
        <v>43</v>
      </c>
      <c r="M1238" s="1">
        <v>32786.89</v>
      </c>
      <c r="AG1238" s="1">
        <v>0</v>
      </c>
      <c r="AH1238" s="2">
        <v>45261</v>
      </c>
      <c r="AI1238" s="2">
        <v>45443</v>
      </c>
      <c r="AJ1238" s="2">
        <v>45261</v>
      </c>
    </row>
    <row r="1239" spans="1:36">
      <c r="A1239" s="1" t="str">
        <f>"A035C93BE6"</f>
        <v>A035C93BE6</v>
      </c>
      <c r="B1239" s="1" t="str">
        <f t="shared" si="25"/>
        <v>02406911202</v>
      </c>
      <c r="C1239" s="1" t="s">
        <v>13</v>
      </c>
      <c r="D1239" s="1" t="s">
        <v>167</v>
      </c>
      <c r="E1239" s="1" t="s">
        <v>1425</v>
      </c>
      <c r="F1239" s="1" t="s">
        <v>151</v>
      </c>
      <c r="G1239" s="1" t="str">
        <f>"11819500965"</f>
        <v>11819500965</v>
      </c>
      <c r="I1239" s="1" t="s">
        <v>1035</v>
      </c>
      <c r="L1239" s="1" t="s">
        <v>43</v>
      </c>
      <c r="M1239" s="1">
        <v>26229.51</v>
      </c>
      <c r="AG1239" s="1">
        <v>0</v>
      </c>
      <c r="AH1239" s="2">
        <v>45261</v>
      </c>
      <c r="AI1239" s="2">
        <v>45443</v>
      </c>
      <c r="AJ1239" s="2">
        <v>45261</v>
      </c>
    </row>
    <row r="1240" spans="1:36">
      <c r="A1240" s="1" t="str">
        <f>"A035CC552B"</f>
        <v>A035CC552B</v>
      </c>
      <c r="B1240" s="1" t="str">
        <f t="shared" si="25"/>
        <v>02406911202</v>
      </c>
      <c r="C1240" s="1" t="s">
        <v>13</v>
      </c>
      <c r="D1240" s="1" t="s">
        <v>167</v>
      </c>
      <c r="E1240" s="1" t="s">
        <v>1425</v>
      </c>
      <c r="F1240" s="1" t="s">
        <v>151</v>
      </c>
      <c r="G1240" s="1" t="str">
        <f>"07123400157"</f>
        <v>07123400157</v>
      </c>
      <c r="I1240" s="1" t="s">
        <v>120</v>
      </c>
      <c r="L1240" s="1" t="s">
        <v>43</v>
      </c>
      <c r="M1240" s="1">
        <v>4098.3599999999997</v>
      </c>
      <c r="AG1240" s="1">
        <v>0</v>
      </c>
      <c r="AH1240" s="2">
        <v>45261</v>
      </c>
      <c r="AI1240" s="2">
        <v>45443</v>
      </c>
      <c r="AJ1240" s="2">
        <v>45261</v>
      </c>
    </row>
    <row r="1241" spans="1:36">
      <c r="A1241" s="1" t="str">
        <f>"A035CE4EBD"</f>
        <v>A035CE4EBD</v>
      </c>
      <c r="B1241" s="1" t="str">
        <f t="shared" si="25"/>
        <v>02406911202</v>
      </c>
      <c r="C1241" s="1" t="s">
        <v>13</v>
      </c>
      <c r="D1241" s="1" t="s">
        <v>167</v>
      </c>
      <c r="E1241" s="1" t="s">
        <v>1425</v>
      </c>
      <c r="F1241" s="1" t="s">
        <v>151</v>
      </c>
      <c r="G1241" s="1" t="str">
        <f>"03043200611"</f>
        <v>03043200611</v>
      </c>
      <c r="I1241" s="1" t="s">
        <v>1036</v>
      </c>
      <c r="L1241" s="1" t="s">
        <v>43</v>
      </c>
      <c r="M1241" s="1">
        <v>4098.3599999999997</v>
      </c>
      <c r="AG1241" s="1">
        <v>0</v>
      </c>
      <c r="AH1241" s="2">
        <v>45261</v>
      </c>
      <c r="AI1241" s="2">
        <v>45443</v>
      </c>
      <c r="AJ1241" s="2">
        <v>45261</v>
      </c>
    </row>
    <row r="1242" spans="1:36">
      <c r="A1242" s="1" t="str">
        <f>"A035D005DB"</f>
        <v>A035D005DB</v>
      </c>
      <c r="B1242" s="1" t="str">
        <f t="shared" si="25"/>
        <v>02406911202</v>
      </c>
      <c r="C1242" s="1" t="s">
        <v>13</v>
      </c>
      <c r="D1242" s="1" t="s">
        <v>167</v>
      </c>
      <c r="E1242" s="1" t="s">
        <v>1425</v>
      </c>
      <c r="F1242" s="1" t="s">
        <v>151</v>
      </c>
      <c r="G1242" s="1" t="str">
        <f>"03544600137"</f>
        <v>03544600137</v>
      </c>
      <c r="I1242" s="1" t="s">
        <v>1037</v>
      </c>
      <c r="L1242" s="1" t="s">
        <v>43</v>
      </c>
      <c r="M1242" s="1">
        <v>4918.03</v>
      </c>
      <c r="AG1242" s="1">
        <v>0</v>
      </c>
      <c r="AH1242" s="2">
        <v>45261</v>
      </c>
      <c r="AI1242" s="2">
        <v>45443</v>
      </c>
      <c r="AJ1242" s="2">
        <v>45261</v>
      </c>
    </row>
    <row r="1243" spans="1:36">
      <c r="A1243" s="1" t="str">
        <f>"A035D13589"</f>
        <v>A035D13589</v>
      </c>
      <c r="B1243" s="1" t="str">
        <f t="shared" si="25"/>
        <v>02406911202</v>
      </c>
      <c r="C1243" s="1" t="s">
        <v>13</v>
      </c>
      <c r="D1243" s="1" t="s">
        <v>167</v>
      </c>
      <c r="E1243" s="1" t="s">
        <v>1425</v>
      </c>
      <c r="F1243" s="1" t="s">
        <v>151</v>
      </c>
      <c r="G1243" s="1" t="str">
        <f>"09238800156"</f>
        <v>09238800156</v>
      </c>
      <c r="I1243" s="1" t="s">
        <v>92</v>
      </c>
      <c r="L1243" s="1" t="s">
        <v>43</v>
      </c>
      <c r="M1243" s="1">
        <v>61475.41</v>
      </c>
      <c r="AG1243" s="1">
        <v>0</v>
      </c>
      <c r="AH1243" s="2">
        <v>45261</v>
      </c>
      <c r="AI1243" s="2">
        <v>45443</v>
      </c>
      <c r="AJ1243" s="2">
        <v>45261</v>
      </c>
    </row>
    <row r="1244" spans="1:36">
      <c r="A1244" s="1" t="str">
        <f>"A035D286DD"</f>
        <v>A035D286DD</v>
      </c>
      <c r="B1244" s="1" t="str">
        <f t="shared" si="25"/>
        <v>02406911202</v>
      </c>
      <c r="C1244" s="1" t="s">
        <v>13</v>
      </c>
      <c r="D1244" s="1" t="s">
        <v>167</v>
      </c>
      <c r="E1244" s="1" t="s">
        <v>1425</v>
      </c>
      <c r="F1244" s="1" t="s">
        <v>151</v>
      </c>
      <c r="G1244" s="1" t="str">
        <f>"04263550966"</f>
        <v>04263550966</v>
      </c>
      <c r="I1244" s="1" t="s">
        <v>1038</v>
      </c>
      <c r="L1244" s="1" t="s">
        <v>43</v>
      </c>
      <c r="M1244" s="1">
        <v>102459.02</v>
      </c>
      <c r="AG1244" s="1">
        <v>0</v>
      </c>
      <c r="AH1244" s="2">
        <v>45261</v>
      </c>
      <c r="AI1244" s="2">
        <v>45443</v>
      </c>
      <c r="AJ1244" s="2">
        <v>45261</v>
      </c>
    </row>
    <row r="1245" spans="1:36">
      <c r="A1245" s="1" t="str">
        <f>"A035D41B7D"</f>
        <v>A035D41B7D</v>
      </c>
      <c r="B1245" s="1" t="str">
        <f t="shared" si="25"/>
        <v>02406911202</v>
      </c>
      <c r="C1245" s="1" t="s">
        <v>13</v>
      </c>
      <c r="D1245" s="1" t="s">
        <v>167</v>
      </c>
      <c r="E1245" s="1" t="s">
        <v>1425</v>
      </c>
      <c r="F1245" s="1" t="s">
        <v>151</v>
      </c>
      <c r="G1245" s="1" t="str">
        <f>"06324460150"</f>
        <v>06324460150</v>
      </c>
      <c r="I1245" s="1" t="s">
        <v>451</v>
      </c>
      <c r="L1245" s="1" t="s">
        <v>43</v>
      </c>
      <c r="M1245" s="1">
        <v>4918.03</v>
      </c>
      <c r="AG1245" s="1">
        <v>0</v>
      </c>
      <c r="AH1245" s="2">
        <v>45261</v>
      </c>
      <c r="AI1245" s="2">
        <v>45443</v>
      </c>
      <c r="AJ1245" s="2">
        <v>45261</v>
      </c>
    </row>
    <row r="1246" spans="1:36">
      <c r="A1246" s="1" t="str">
        <f>"A035D55BFE"</f>
        <v>A035D55BFE</v>
      </c>
      <c r="B1246" s="1" t="str">
        <f t="shared" si="25"/>
        <v>02406911202</v>
      </c>
      <c r="C1246" s="1" t="s">
        <v>13</v>
      </c>
      <c r="D1246" s="1" t="s">
        <v>167</v>
      </c>
      <c r="E1246" s="1" t="s">
        <v>1425</v>
      </c>
      <c r="F1246" s="1" t="s">
        <v>151</v>
      </c>
      <c r="G1246" s="1" t="str">
        <f>"07279701002"</f>
        <v>07279701002</v>
      </c>
      <c r="I1246" s="1" t="s">
        <v>125</v>
      </c>
      <c r="L1246" s="1" t="s">
        <v>43</v>
      </c>
      <c r="M1246" s="1">
        <v>102459.02</v>
      </c>
      <c r="AG1246" s="1">
        <v>0</v>
      </c>
      <c r="AH1246" s="2">
        <v>45261</v>
      </c>
      <c r="AI1246" s="2">
        <v>45443</v>
      </c>
      <c r="AJ1246" s="2">
        <v>45261</v>
      </c>
    </row>
    <row r="1247" spans="1:36">
      <c r="A1247" s="1" t="str">
        <f>"A035D6AD52"</f>
        <v>A035D6AD52</v>
      </c>
      <c r="B1247" s="1" t="str">
        <f t="shared" si="25"/>
        <v>02406911202</v>
      </c>
      <c r="C1247" s="1" t="s">
        <v>13</v>
      </c>
      <c r="D1247" s="1" t="s">
        <v>167</v>
      </c>
      <c r="E1247" s="1" t="s">
        <v>1425</v>
      </c>
      <c r="F1247" s="1" t="s">
        <v>151</v>
      </c>
      <c r="G1247" s="1" t="str">
        <f>"02160570426"</f>
        <v>02160570426</v>
      </c>
      <c r="I1247" s="1" t="s">
        <v>1039</v>
      </c>
      <c r="L1247" s="1" t="s">
        <v>43</v>
      </c>
      <c r="M1247" s="1">
        <v>4918.03</v>
      </c>
      <c r="AG1247" s="1">
        <v>0</v>
      </c>
      <c r="AH1247" s="2">
        <v>45261</v>
      </c>
      <c r="AI1247" s="2">
        <v>45443</v>
      </c>
      <c r="AJ1247" s="2">
        <v>45261</v>
      </c>
    </row>
    <row r="1248" spans="1:36">
      <c r="A1248" s="1" t="str">
        <f>"A035EAB63A"</f>
        <v>A035EAB63A</v>
      </c>
      <c r="B1248" s="1" t="str">
        <f t="shared" si="25"/>
        <v>02406911202</v>
      </c>
      <c r="C1248" s="1" t="s">
        <v>13</v>
      </c>
      <c r="D1248" s="1" t="s">
        <v>167</v>
      </c>
      <c r="E1248" s="1" t="s">
        <v>1427</v>
      </c>
      <c r="F1248" s="1" t="s">
        <v>151</v>
      </c>
      <c r="G1248" s="1" t="str">
        <f>"01814170047"</f>
        <v>01814170047</v>
      </c>
      <c r="I1248" s="1" t="s">
        <v>1420</v>
      </c>
      <c r="L1248" s="1" t="s">
        <v>43</v>
      </c>
      <c r="M1248" s="1">
        <v>64597.5</v>
      </c>
      <c r="AG1248" s="1">
        <v>0</v>
      </c>
      <c r="AH1248" s="2">
        <v>45278</v>
      </c>
      <c r="AI1248" s="2">
        <v>45473</v>
      </c>
      <c r="AJ1248" s="2">
        <v>45278</v>
      </c>
    </row>
    <row r="1249" spans="1:36">
      <c r="A1249" s="1" t="str">
        <f>"A03738F38A"</f>
        <v>A03738F38A</v>
      </c>
      <c r="B1249" s="1" t="str">
        <f t="shared" si="25"/>
        <v>02406911202</v>
      </c>
      <c r="C1249" s="1" t="s">
        <v>13</v>
      </c>
      <c r="D1249" s="1" t="s">
        <v>167</v>
      </c>
      <c r="E1249" s="1" t="s">
        <v>1428</v>
      </c>
      <c r="F1249" s="1" t="s">
        <v>151</v>
      </c>
      <c r="G1249" s="1" t="str">
        <f>"06202160013"</f>
        <v>06202160013</v>
      </c>
      <c r="I1249" s="1" t="s">
        <v>1429</v>
      </c>
      <c r="L1249" s="1" t="s">
        <v>43</v>
      </c>
      <c r="M1249" s="1">
        <v>4640</v>
      </c>
      <c r="AG1249" s="1">
        <v>0</v>
      </c>
      <c r="AH1249" s="2">
        <v>45265</v>
      </c>
      <c r="AI1249" s="2">
        <v>45630</v>
      </c>
      <c r="AJ1249" s="2">
        <v>45265</v>
      </c>
    </row>
    <row r="1250" spans="1:36">
      <c r="A1250" s="1" t="str">
        <f>"A0373B748C"</f>
        <v>A0373B748C</v>
      </c>
      <c r="B1250" s="1" t="str">
        <f t="shared" si="25"/>
        <v>02406911202</v>
      </c>
      <c r="C1250" s="1" t="s">
        <v>13</v>
      </c>
      <c r="D1250" s="1" t="s">
        <v>167</v>
      </c>
      <c r="E1250" s="1" t="s">
        <v>1430</v>
      </c>
      <c r="F1250" s="1" t="s">
        <v>151</v>
      </c>
      <c r="G1250" s="1" t="str">
        <f>"09695290966"</f>
        <v>09695290966</v>
      </c>
      <c r="I1250" s="1" t="s">
        <v>1431</v>
      </c>
      <c r="L1250" s="1" t="s">
        <v>43</v>
      </c>
      <c r="M1250" s="1">
        <v>2275</v>
      </c>
      <c r="AG1250" s="1">
        <v>0</v>
      </c>
      <c r="AH1250" s="2">
        <v>45265</v>
      </c>
      <c r="AI1250" s="2">
        <v>45631</v>
      </c>
      <c r="AJ1250" s="2">
        <v>45265</v>
      </c>
    </row>
    <row r="1251" spans="1:36">
      <c r="A1251" s="1" t="str">
        <f>"A0373E2807"</f>
        <v>A0373E2807</v>
      </c>
      <c r="B1251" s="1" t="str">
        <f t="shared" si="25"/>
        <v>02406911202</v>
      </c>
      <c r="C1251" s="1" t="s">
        <v>13</v>
      </c>
      <c r="D1251" s="1" t="s">
        <v>167</v>
      </c>
      <c r="E1251" s="1" t="s">
        <v>1432</v>
      </c>
      <c r="F1251" s="1" t="s">
        <v>151</v>
      </c>
      <c r="G1251" s="1" t="str">
        <f>"09695290966"</f>
        <v>09695290966</v>
      </c>
      <c r="I1251" s="1" t="s">
        <v>1431</v>
      </c>
      <c r="L1251" s="1" t="s">
        <v>43</v>
      </c>
      <c r="M1251" s="1">
        <v>3689</v>
      </c>
      <c r="AG1251" s="1">
        <v>0</v>
      </c>
      <c r="AH1251" s="2">
        <v>45265</v>
      </c>
      <c r="AI1251" s="2">
        <v>45631</v>
      </c>
      <c r="AJ1251" s="2">
        <v>45265</v>
      </c>
    </row>
    <row r="1252" spans="1:36">
      <c r="A1252" s="1" t="str">
        <f>"A0373E7C26"</f>
        <v>A0373E7C26</v>
      </c>
      <c r="B1252" s="1" t="str">
        <f t="shared" si="25"/>
        <v>02406911202</v>
      </c>
      <c r="C1252" s="1" t="s">
        <v>13</v>
      </c>
      <c r="D1252" s="1" t="s">
        <v>167</v>
      </c>
      <c r="E1252" s="1" t="s">
        <v>1433</v>
      </c>
      <c r="F1252" s="1" t="s">
        <v>151</v>
      </c>
      <c r="G1252" s="1" t="str">
        <f>"05665070966"</f>
        <v>05665070966</v>
      </c>
      <c r="I1252" s="1" t="s">
        <v>1017</v>
      </c>
      <c r="L1252" s="1" t="s">
        <v>43</v>
      </c>
      <c r="M1252" s="1">
        <v>3194386.46</v>
      </c>
      <c r="AG1252" s="1">
        <v>0</v>
      </c>
      <c r="AH1252" s="2">
        <v>45264</v>
      </c>
      <c r="AI1252" s="2">
        <v>46022</v>
      </c>
      <c r="AJ1252" s="2">
        <v>45264</v>
      </c>
    </row>
    <row r="1253" spans="1:36">
      <c r="A1253" s="1" t="str">
        <f>"A03767CD9F"</f>
        <v>A03767CD9F</v>
      </c>
      <c r="B1253" s="1" t="str">
        <f t="shared" si="25"/>
        <v>02406911202</v>
      </c>
      <c r="C1253" s="1" t="s">
        <v>13</v>
      </c>
      <c r="D1253" s="1" t="s">
        <v>167</v>
      </c>
      <c r="E1253" s="1" t="s">
        <v>1434</v>
      </c>
      <c r="F1253" s="1" t="s">
        <v>39</v>
      </c>
      <c r="G1253" s="1" t="str">
        <f>"03524050238"</f>
        <v>03524050238</v>
      </c>
      <c r="I1253" s="1" t="s">
        <v>171</v>
      </c>
      <c r="L1253" s="1" t="s">
        <v>43</v>
      </c>
      <c r="M1253" s="1">
        <v>394616.34</v>
      </c>
      <c r="AG1253" s="1">
        <v>0</v>
      </c>
      <c r="AH1253" s="2">
        <v>45266</v>
      </c>
      <c r="AI1253" s="2">
        <v>45996</v>
      </c>
      <c r="AJ1253" s="2">
        <v>45266</v>
      </c>
    </row>
    <row r="1254" spans="1:36">
      <c r="A1254" s="1" t="str">
        <f>"A0385D57F1"</f>
        <v>A0385D57F1</v>
      </c>
      <c r="B1254" s="1" t="str">
        <f t="shared" si="25"/>
        <v>02406911202</v>
      </c>
      <c r="C1254" s="1" t="s">
        <v>13</v>
      </c>
      <c r="D1254" s="1" t="s">
        <v>164</v>
      </c>
      <c r="E1254" s="1" t="s">
        <v>1435</v>
      </c>
      <c r="F1254" s="1" t="s">
        <v>39</v>
      </c>
      <c r="G1254" s="1" t="str">
        <f>"03002830366"</f>
        <v>03002830366</v>
      </c>
      <c r="I1254" s="1" t="s">
        <v>511</v>
      </c>
      <c r="L1254" s="1" t="s">
        <v>43</v>
      </c>
      <c r="M1254" s="1">
        <v>22275</v>
      </c>
      <c r="AG1254" s="1">
        <v>0</v>
      </c>
      <c r="AH1254" s="2">
        <v>45265</v>
      </c>
      <c r="AI1254" s="2">
        <v>45291</v>
      </c>
      <c r="AJ1254" s="2">
        <v>45265</v>
      </c>
    </row>
    <row r="1255" spans="1:36">
      <c r="A1255" s="1" t="str">
        <f>"A03A6BAD2A"</f>
        <v>A03A6BAD2A</v>
      </c>
      <c r="B1255" s="1" t="str">
        <f t="shared" si="25"/>
        <v>02406911202</v>
      </c>
      <c r="C1255" s="1" t="s">
        <v>13</v>
      </c>
      <c r="D1255" s="1" t="s">
        <v>167</v>
      </c>
      <c r="E1255" s="1" t="s">
        <v>1436</v>
      </c>
      <c r="F1255" s="1" t="s">
        <v>151</v>
      </c>
      <c r="G1255" s="1" t="str">
        <f>"05994810488"</f>
        <v>05994810488</v>
      </c>
      <c r="I1255" s="1" t="s">
        <v>513</v>
      </c>
      <c r="L1255" s="1" t="s">
        <v>43</v>
      </c>
      <c r="M1255" s="1">
        <v>200000</v>
      </c>
      <c r="AG1255" s="1">
        <v>0</v>
      </c>
      <c r="AH1255" s="2">
        <v>45275</v>
      </c>
      <c r="AI1255" s="2">
        <v>45473</v>
      </c>
      <c r="AJ1255" s="2">
        <v>45275</v>
      </c>
    </row>
    <row r="1256" spans="1:36">
      <c r="A1256" s="1" t="str">
        <f>"A03ACDDD98"</f>
        <v>A03ACDDD98</v>
      </c>
      <c r="B1256" s="1" t="str">
        <f t="shared" si="25"/>
        <v>02406911202</v>
      </c>
      <c r="C1256" s="1" t="s">
        <v>13</v>
      </c>
      <c r="D1256" s="1" t="s">
        <v>167</v>
      </c>
      <c r="E1256" s="1" t="s">
        <v>1437</v>
      </c>
      <c r="F1256" s="1" t="s">
        <v>151</v>
      </c>
      <c r="G1256" s="1" t="str">
        <f>"02645920592"</f>
        <v>02645920592</v>
      </c>
      <c r="I1256" s="1" t="s">
        <v>83</v>
      </c>
      <c r="L1256" s="1" t="s">
        <v>43</v>
      </c>
      <c r="M1256" s="1">
        <v>693034.47</v>
      </c>
      <c r="AG1256" s="1">
        <v>0</v>
      </c>
      <c r="AH1256" s="2">
        <v>45281</v>
      </c>
      <c r="AI1256" s="2">
        <v>46022</v>
      </c>
      <c r="AJ1256" s="2">
        <v>45281</v>
      </c>
    </row>
    <row r="1257" spans="1:36">
      <c r="A1257" s="1" t="str">
        <f>"A03AD18E48"</f>
        <v>A03AD18E48</v>
      </c>
      <c r="B1257" s="1" t="str">
        <f t="shared" si="25"/>
        <v>02406911202</v>
      </c>
      <c r="C1257" s="1" t="s">
        <v>13</v>
      </c>
      <c r="D1257" s="1" t="s">
        <v>167</v>
      </c>
      <c r="E1257" s="1" t="s">
        <v>1438</v>
      </c>
      <c r="F1257" s="1" t="s">
        <v>151</v>
      </c>
      <c r="G1257" s="1" t="str">
        <f>"03878140239"</f>
        <v>03878140239</v>
      </c>
      <c r="I1257" s="1" t="s">
        <v>45</v>
      </c>
      <c r="L1257" s="1" t="s">
        <v>43</v>
      </c>
      <c r="M1257" s="1">
        <v>244423.82</v>
      </c>
      <c r="AG1257" s="1">
        <v>0</v>
      </c>
      <c r="AH1257" s="2">
        <v>45282</v>
      </c>
      <c r="AI1257" s="2">
        <v>46022</v>
      </c>
      <c r="AJ1257" s="2">
        <v>45282</v>
      </c>
    </row>
    <row r="1258" spans="1:36">
      <c r="A1258" s="1" t="str">
        <f>"A03ADBC5A1"</f>
        <v>A03ADBC5A1</v>
      </c>
      <c r="B1258" s="1" t="str">
        <f t="shared" si="25"/>
        <v>02406911202</v>
      </c>
      <c r="C1258" s="1" t="s">
        <v>13</v>
      </c>
      <c r="D1258" s="1" t="s">
        <v>167</v>
      </c>
      <c r="E1258" s="1" t="s">
        <v>1439</v>
      </c>
      <c r="F1258" s="1" t="s">
        <v>151</v>
      </c>
      <c r="G1258" s="1" t="str">
        <f>"02789580590"</f>
        <v>02789580590</v>
      </c>
      <c r="I1258" s="1" t="s">
        <v>182</v>
      </c>
      <c r="L1258" s="1" t="s">
        <v>43</v>
      </c>
      <c r="M1258" s="1">
        <v>242509.98</v>
      </c>
      <c r="AG1258" s="1">
        <v>0</v>
      </c>
      <c r="AH1258" s="2">
        <v>45281</v>
      </c>
      <c r="AI1258" s="2">
        <v>46022</v>
      </c>
      <c r="AJ1258" s="2">
        <v>45281</v>
      </c>
    </row>
    <row r="1259" spans="1:36">
      <c r="A1259" s="1" t="str">
        <f>"A03ADBF81A"</f>
        <v>A03ADBF81A</v>
      </c>
      <c r="B1259" s="1" t="str">
        <f t="shared" si="25"/>
        <v>02406911202</v>
      </c>
      <c r="C1259" s="1" t="s">
        <v>13</v>
      </c>
      <c r="D1259" s="1" t="s">
        <v>167</v>
      </c>
      <c r="E1259" s="1" t="s">
        <v>1440</v>
      </c>
      <c r="F1259" s="1" t="s">
        <v>151</v>
      </c>
      <c r="G1259" s="1" t="str">
        <f>"06037901003"</f>
        <v>06037901003</v>
      </c>
      <c r="I1259" s="1" t="s">
        <v>1441</v>
      </c>
      <c r="L1259" s="1" t="s">
        <v>43</v>
      </c>
      <c r="M1259" s="1">
        <v>405396.01</v>
      </c>
      <c r="AG1259" s="1">
        <v>0</v>
      </c>
      <c r="AH1259" s="2">
        <v>45281</v>
      </c>
      <c r="AI1259" s="2">
        <v>46022</v>
      </c>
      <c r="AJ1259" s="2">
        <v>45281</v>
      </c>
    </row>
    <row r="1260" spans="1:36">
      <c r="A1260" s="1" t="str">
        <f>"A03ADD5A41"</f>
        <v>A03ADD5A41</v>
      </c>
      <c r="B1260" s="1" t="str">
        <f t="shared" si="25"/>
        <v>02406911202</v>
      </c>
      <c r="C1260" s="1" t="s">
        <v>13</v>
      </c>
      <c r="D1260" s="1" t="s">
        <v>167</v>
      </c>
      <c r="E1260" s="1" t="s">
        <v>1442</v>
      </c>
      <c r="F1260" s="1" t="s">
        <v>151</v>
      </c>
      <c r="G1260" s="1" t="str">
        <f>"09592090964"</f>
        <v>09592090964</v>
      </c>
      <c r="I1260" s="1" t="s">
        <v>1443</v>
      </c>
      <c r="L1260" s="1" t="s">
        <v>43</v>
      </c>
      <c r="M1260" s="1">
        <v>760527.81</v>
      </c>
      <c r="AG1260" s="1">
        <v>0</v>
      </c>
      <c r="AH1260" s="2">
        <v>45281</v>
      </c>
      <c r="AI1260" s="2">
        <v>46022</v>
      </c>
      <c r="AJ1260" s="2">
        <v>45281</v>
      </c>
    </row>
    <row r="1261" spans="1:36">
      <c r="A1261" s="1" t="str">
        <f>"A03ADE35D0"</f>
        <v>A03ADE35D0</v>
      </c>
      <c r="B1261" s="1" t="str">
        <f t="shared" si="25"/>
        <v>02406911202</v>
      </c>
      <c r="C1261" s="1" t="s">
        <v>13</v>
      </c>
      <c r="D1261" s="1" t="s">
        <v>167</v>
      </c>
      <c r="E1261" s="1" t="s">
        <v>1444</v>
      </c>
      <c r="F1261" s="1" t="s">
        <v>151</v>
      </c>
      <c r="G1261" s="1" t="str">
        <f>"10051170156"</f>
        <v>10051170156</v>
      </c>
      <c r="I1261" s="1" t="s">
        <v>1445</v>
      </c>
      <c r="L1261" s="1" t="s">
        <v>43</v>
      </c>
      <c r="M1261" s="1">
        <v>353672.76</v>
      </c>
      <c r="AG1261" s="1">
        <v>0</v>
      </c>
      <c r="AH1261" s="2">
        <v>45281</v>
      </c>
      <c r="AI1261" s="2">
        <v>46022</v>
      </c>
      <c r="AJ1261" s="2">
        <v>45281</v>
      </c>
    </row>
    <row r="1262" spans="1:36">
      <c r="A1262" s="1" t="str">
        <f>"A03AE02F62"</f>
        <v>A03AE02F62</v>
      </c>
      <c r="B1262" s="1" t="str">
        <f t="shared" si="25"/>
        <v>02406911202</v>
      </c>
      <c r="C1262" s="1" t="s">
        <v>13</v>
      </c>
      <c r="D1262" s="1" t="s">
        <v>167</v>
      </c>
      <c r="E1262" s="1" t="s">
        <v>1446</v>
      </c>
      <c r="F1262" s="1" t="s">
        <v>151</v>
      </c>
      <c r="G1262" s="1" t="str">
        <f>"04754860155"</f>
        <v>04754860155</v>
      </c>
      <c r="I1262" s="1" t="s">
        <v>62</v>
      </c>
      <c r="L1262" s="1" t="s">
        <v>43</v>
      </c>
      <c r="M1262" s="1">
        <v>491060</v>
      </c>
      <c r="AG1262" s="1">
        <v>0</v>
      </c>
      <c r="AH1262" s="2">
        <v>45281</v>
      </c>
      <c r="AI1262" s="2">
        <v>46022</v>
      </c>
      <c r="AJ1262" s="2">
        <v>45281</v>
      </c>
    </row>
    <row r="1263" spans="1:36">
      <c r="A1263" s="1" t="str">
        <f>"A03AE16FE3"</f>
        <v>A03AE16FE3</v>
      </c>
      <c r="B1263" s="1" t="str">
        <f t="shared" si="25"/>
        <v>02406911202</v>
      </c>
      <c r="C1263" s="1" t="s">
        <v>13</v>
      </c>
      <c r="D1263" s="1" t="s">
        <v>167</v>
      </c>
      <c r="E1263" s="1" t="s">
        <v>1447</v>
      </c>
      <c r="F1263" s="1" t="s">
        <v>151</v>
      </c>
      <c r="G1263" s="1" t="str">
        <f>"00735390155"</f>
        <v>00735390155</v>
      </c>
      <c r="I1263" s="1" t="s">
        <v>774</v>
      </c>
      <c r="L1263" s="1" t="s">
        <v>43</v>
      </c>
      <c r="M1263" s="1">
        <v>55017.599999999999</v>
      </c>
      <c r="AG1263" s="1">
        <v>0</v>
      </c>
      <c r="AH1263" s="2">
        <v>45281</v>
      </c>
      <c r="AI1263" s="2">
        <v>46022</v>
      </c>
      <c r="AJ1263" s="2">
        <v>45281</v>
      </c>
    </row>
    <row r="1264" spans="1:36">
      <c r="A1264" s="1" t="str">
        <f>"A03AE1C4DA"</f>
        <v>A03AE1C4DA</v>
      </c>
      <c r="B1264" s="1" t="str">
        <f t="shared" si="25"/>
        <v>02406911202</v>
      </c>
      <c r="C1264" s="1" t="s">
        <v>13</v>
      </c>
      <c r="D1264" s="1" t="s">
        <v>167</v>
      </c>
      <c r="E1264" s="1" t="s">
        <v>1448</v>
      </c>
      <c r="F1264" s="1" t="s">
        <v>151</v>
      </c>
      <c r="G1264" s="1" t="str">
        <f>"00471770016"</f>
        <v>00471770016</v>
      </c>
      <c r="I1264" s="1" t="s">
        <v>794</v>
      </c>
      <c r="L1264" s="1" t="s">
        <v>43</v>
      </c>
      <c r="M1264" s="1">
        <v>448679.25</v>
      </c>
      <c r="AG1264" s="1">
        <v>0</v>
      </c>
      <c r="AH1264" s="2">
        <v>45281</v>
      </c>
      <c r="AI1264" s="2">
        <v>46022</v>
      </c>
      <c r="AJ1264" s="2">
        <v>45281</v>
      </c>
    </row>
    <row r="1265" spans="1:36">
      <c r="A1265" s="1" t="str">
        <f>"A03AE2D2E2"</f>
        <v>A03AE2D2E2</v>
      </c>
      <c r="B1265" s="1" t="str">
        <f t="shared" si="25"/>
        <v>02406911202</v>
      </c>
      <c r="C1265" s="1" t="s">
        <v>13</v>
      </c>
      <c r="D1265" s="1" t="s">
        <v>167</v>
      </c>
      <c r="E1265" s="1" t="s">
        <v>1449</v>
      </c>
      <c r="F1265" s="1" t="s">
        <v>151</v>
      </c>
      <c r="G1265" s="1" t="str">
        <f>"00674840152"</f>
        <v>00674840152</v>
      </c>
      <c r="I1265" s="1" t="s">
        <v>87</v>
      </c>
      <c r="L1265" s="1" t="s">
        <v>43</v>
      </c>
      <c r="M1265" s="1">
        <v>118760.05</v>
      </c>
      <c r="AG1265" s="1">
        <v>0</v>
      </c>
      <c r="AH1265" s="2">
        <v>45281</v>
      </c>
      <c r="AI1265" s="2">
        <v>46022</v>
      </c>
      <c r="AJ1265" s="2">
        <v>45281</v>
      </c>
    </row>
    <row r="1266" spans="1:36">
      <c r="A1266" s="1" t="str">
        <f>"A03AE5DA7C"</f>
        <v>A03AE5DA7C</v>
      </c>
      <c r="B1266" s="1" t="str">
        <f t="shared" si="25"/>
        <v>02406911202</v>
      </c>
      <c r="C1266" s="1" t="s">
        <v>13</v>
      </c>
      <c r="D1266" s="1" t="s">
        <v>167</v>
      </c>
      <c r="E1266" s="1" t="s">
        <v>1450</v>
      </c>
      <c r="F1266" s="1" t="s">
        <v>151</v>
      </c>
      <c r="G1266" s="1" t="str">
        <f>"05849130157"</f>
        <v>05849130157</v>
      </c>
      <c r="I1266" s="1" t="s">
        <v>634</v>
      </c>
      <c r="L1266" s="1" t="s">
        <v>43</v>
      </c>
      <c r="M1266" s="1">
        <v>907393.11</v>
      </c>
      <c r="AG1266" s="1">
        <v>0</v>
      </c>
      <c r="AH1266" s="2">
        <v>45281</v>
      </c>
      <c r="AI1266" s="2">
        <v>46022</v>
      </c>
      <c r="AJ1266" s="2">
        <v>45281</v>
      </c>
    </row>
    <row r="1267" spans="1:36">
      <c r="A1267" s="1" t="str">
        <f>"A03AE947E0"</f>
        <v>A03AE947E0</v>
      </c>
      <c r="B1267" s="1" t="str">
        <f t="shared" si="25"/>
        <v>02406911202</v>
      </c>
      <c r="C1267" s="1" t="s">
        <v>13</v>
      </c>
      <c r="D1267" s="1" t="s">
        <v>167</v>
      </c>
      <c r="E1267" s="1" t="s">
        <v>1451</v>
      </c>
      <c r="F1267" s="1" t="s">
        <v>151</v>
      </c>
      <c r="G1267" s="1" t="str">
        <f>"00082130592"</f>
        <v>00082130592</v>
      </c>
      <c r="I1267" s="1" t="s">
        <v>1452</v>
      </c>
      <c r="L1267" s="1" t="s">
        <v>43</v>
      </c>
      <c r="M1267" s="1">
        <v>217841.56</v>
      </c>
      <c r="AG1267" s="1">
        <v>0</v>
      </c>
      <c r="AH1267" s="2">
        <v>45281</v>
      </c>
      <c r="AI1267" s="2">
        <v>46022</v>
      </c>
      <c r="AJ1267" s="2">
        <v>45281</v>
      </c>
    </row>
    <row r="1268" spans="1:36">
      <c r="A1268" s="1" t="str">
        <f>"A03AEABADA"</f>
        <v>A03AEABADA</v>
      </c>
      <c r="B1268" s="1" t="str">
        <f t="shared" si="25"/>
        <v>02406911202</v>
      </c>
      <c r="C1268" s="1" t="s">
        <v>13</v>
      </c>
      <c r="D1268" s="1" t="s">
        <v>167</v>
      </c>
      <c r="E1268" s="1" t="s">
        <v>1453</v>
      </c>
      <c r="F1268" s="1" t="s">
        <v>151</v>
      </c>
      <c r="G1268" s="1" t="str">
        <f>"02944970348"</f>
        <v>02944970348</v>
      </c>
      <c r="I1268" s="1" t="s">
        <v>1454</v>
      </c>
      <c r="L1268" s="1" t="s">
        <v>43</v>
      </c>
      <c r="M1268" s="1">
        <v>258009.32</v>
      </c>
      <c r="AG1268" s="1">
        <v>0</v>
      </c>
      <c r="AH1268" s="2">
        <v>45281</v>
      </c>
      <c r="AI1268" s="2">
        <v>46022</v>
      </c>
      <c r="AJ1268" s="2">
        <v>45281</v>
      </c>
    </row>
    <row r="1269" spans="1:36">
      <c r="A1269" s="1" t="str">
        <f>"A03AEBD9B5"</f>
        <v>A03AEBD9B5</v>
      </c>
      <c r="B1269" s="1" t="str">
        <f t="shared" si="25"/>
        <v>02406911202</v>
      </c>
      <c r="C1269" s="1" t="s">
        <v>13</v>
      </c>
      <c r="D1269" s="1" t="s">
        <v>167</v>
      </c>
      <c r="E1269" s="1" t="s">
        <v>1455</v>
      </c>
      <c r="F1269" s="1" t="s">
        <v>151</v>
      </c>
      <c r="G1269" s="1" t="str">
        <f>"05288990962"</f>
        <v>05288990962</v>
      </c>
      <c r="I1269" s="1" t="s">
        <v>1456</v>
      </c>
      <c r="L1269" s="1" t="s">
        <v>43</v>
      </c>
      <c r="M1269" s="1">
        <v>360487.12</v>
      </c>
      <c r="AG1269" s="1">
        <v>0</v>
      </c>
      <c r="AH1269" s="2">
        <v>45281</v>
      </c>
      <c r="AI1269" s="2">
        <v>46022</v>
      </c>
      <c r="AJ1269" s="2">
        <v>45281</v>
      </c>
    </row>
    <row r="1270" spans="1:36">
      <c r="A1270" s="1" t="str">
        <f>"A03AECA471"</f>
        <v>A03AECA471</v>
      </c>
      <c r="B1270" s="1" t="str">
        <f t="shared" si="25"/>
        <v>02406911202</v>
      </c>
      <c r="C1270" s="1" t="s">
        <v>13</v>
      </c>
      <c r="D1270" s="1" t="s">
        <v>167</v>
      </c>
      <c r="E1270" s="1" t="s">
        <v>1457</v>
      </c>
      <c r="F1270" s="1" t="s">
        <v>151</v>
      </c>
      <c r="G1270" s="1" t="str">
        <f>"02642020156"</f>
        <v>02642020156</v>
      </c>
      <c r="I1270" s="1" t="s">
        <v>620</v>
      </c>
      <c r="L1270" s="1" t="s">
        <v>43</v>
      </c>
      <c r="M1270" s="1">
        <v>539872</v>
      </c>
      <c r="AG1270" s="1">
        <v>0</v>
      </c>
      <c r="AH1270" s="2">
        <v>45281</v>
      </c>
      <c r="AI1270" s="2">
        <v>46022</v>
      </c>
      <c r="AJ1270" s="2">
        <v>45281</v>
      </c>
    </row>
    <row r="1271" spans="1:36">
      <c r="A1271" s="1" t="str">
        <f>"A03AEED154"</f>
        <v>A03AEED154</v>
      </c>
      <c r="B1271" s="1" t="str">
        <f t="shared" si="25"/>
        <v>02406911202</v>
      </c>
      <c r="C1271" s="1" t="s">
        <v>13</v>
      </c>
      <c r="D1271" s="1" t="s">
        <v>167</v>
      </c>
      <c r="E1271" s="1" t="s">
        <v>1458</v>
      </c>
      <c r="F1271" s="1" t="s">
        <v>151</v>
      </c>
      <c r="G1271" s="1" t="str">
        <f>"00426150488"</f>
        <v>00426150488</v>
      </c>
      <c r="I1271" s="1" t="s">
        <v>1459</v>
      </c>
      <c r="L1271" s="1" t="s">
        <v>43</v>
      </c>
      <c r="M1271" s="1">
        <v>626715.16</v>
      </c>
      <c r="AG1271" s="1">
        <v>0</v>
      </c>
      <c r="AH1271" s="2">
        <v>45281</v>
      </c>
      <c r="AI1271" s="2">
        <v>46022</v>
      </c>
      <c r="AJ1271" s="2">
        <v>45281</v>
      </c>
    </row>
    <row r="1272" spans="1:36">
      <c r="A1272" s="1" t="str">
        <f>"A03AF022A8"</f>
        <v>A03AF022A8</v>
      </c>
      <c r="B1272" s="1" t="str">
        <f t="shared" si="25"/>
        <v>02406911202</v>
      </c>
      <c r="C1272" s="1" t="s">
        <v>13</v>
      </c>
      <c r="D1272" s="1" t="s">
        <v>167</v>
      </c>
      <c r="E1272" s="1" t="s">
        <v>1460</v>
      </c>
      <c r="F1272" s="1" t="s">
        <v>151</v>
      </c>
      <c r="G1272" s="1" t="str">
        <f>"00832400154"</f>
        <v>00832400154</v>
      </c>
      <c r="I1272" s="1" t="s">
        <v>641</v>
      </c>
      <c r="L1272" s="1" t="s">
        <v>43</v>
      </c>
      <c r="M1272" s="1">
        <v>3810024.18</v>
      </c>
      <c r="AG1272" s="1">
        <v>0</v>
      </c>
      <c r="AH1272" s="2">
        <v>45281</v>
      </c>
      <c r="AI1272" s="2">
        <v>46022</v>
      </c>
      <c r="AJ1272" s="2">
        <v>45281</v>
      </c>
    </row>
    <row r="1273" spans="1:36">
      <c r="A1273" s="1" t="str">
        <f>"A03AF0BA13"</f>
        <v>A03AF0BA13</v>
      </c>
      <c r="B1273" s="1" t="str">
        <f t="shared" si="25"/>
        <v>02406911202</v>
      </c>
      <c r="C1273" s="1" t="s">
        <v>13</v>
      </c>
      <c r="D1273" s="1" t="s">
        <v>167</v>
      </c>
      <c r="E1273" s="1" t="s">
        <v>1461</v>
      </c>
      <c r="F1273" s="1" t="s">
        <v>151</v>
      </c>
      <c r="G1273" s="1" t="str">
        <f>"05763890638"</f>
        <v>05763890638</v>
      </c>
      <c r="I1273" s="1" t="s">
        <v>1013</v>
      </c>
      <c r="L1273" s="1" t="s">
        <v>43</v>
      </c>
      <c r="M1273" s="1">
        <v>924768.29</v>
      </c>
      <c r="AG1273" s="1">
        <v>0</v>
      </c>
      <c r="AH1273" s="2">
        <v>45281</v>
      </c>
      <c r="AI1273" s="2">
        <v>46022</v>
      </c>
      <c r="AJ1273" s="2">
        <v>45281</v>
      </c>
    </row>
    <row r="1274" spans="1:36">
      <c r="A1274" s="1" t="str">
        <f>"A03AF42777"</f>
        <v>A03AF42777</v>
      </c>
      <c r="B1274" s="1" t="str">
        <f t="shared" si="25"/>
        <v>02406911202</v>
      </c>
      <c r="C1274" s="1" t="s">
        <v>13</v>
      </c>
      <c r="D1274" s="1" t="s">
        <v>167</v>
      </c>
      <c r="E1274" s="1" t="s">
        <v>1462</v>
      </c>
      <c r="F1274" s="1" t="s">
        <v>151</v>
      </c>
      <c r="H1274" s="1" t="str">
        <f>"858823081B0"</f>
        <v>858823081B0</v>
      </c>
      <c r="I1274" s="1" t="s">
        <v>1463</v>
      </c>
      <c r="L1274" s="1" t="s">
        <v>43</v>
      </c>
      <c r="M1274" s="1">
        <v>43700</v>
      </c>
      <c r="AG1274" s="1">
        <v>0</v>
      </c>
      <c r="AH1274" s="2">
        <v>45281</v>
      </c>
      <c r="AI1274" s="2">
        <v>45473</v>
      </c>
      <c r="AJ1274" s="2">
        <v>45281</v>
      </c>
    </row>
    <row r="1275" spans="1:36">
      <c r="A1275" s="1" t="str">
        <f>"A03AF8706A"</f>
        <v>A03AF8706A</v>
      </c>
      <c r="B1275" s="1" t="str">
        <f t="shared" si="25"/>
        <v>02406911202</v>
      </c>
      <c r="C1275" s="1" t="s">
        <v>13</v>
      </c>
      <c r="D1275" s="1" t="s">
        <v>167</v>
      </c>
      <c r="E1275" s="1" t="s">
        <v>1464</v>
      </c>
      <c r="F1275" s="1" t="s">
        <v>151</v>
      </c>
      <c r="G1275" s="1" t="str">
        <f>"11187430159"</f>
        <v>11187430159</v>
      </c>
      <c r="I1275" s="1" t="s">
        <v>476</v>
      </c>
      <c r="L1275" s="1" t="s">
        <v>43</v>
      </c>
      <c r="M1275" s="1">
        <v>1095987.2</v>
      </c>
      <c r="AG1275" s="1">
        <v>0</v>
      </c>
      <c r="AH1275" s="2">
        <v>45281</v>
      </c>
      <c r="AI1275" s="2">
        <v>46022</v>
      </c>
      <c r="AJ1275" s="2">
        <v>45281</v>
      </c>
    </row>
    <row r="1276" spans="1:36">
      <c r="A1276" s="1" t="str">
        <f>"A03AFC42C0"</f>
        <v>A03AFC42C0</v>
      </c>
      <c r="B1276" s="1" t="str">
        <f t="shared" si="25"/>
        <v>02406911202</v>
      </c>
      <c r="C1276" s="1" t="s">
        <v>13</v>
      </c>
      <c r="D1276" s="1" t="s">
        <v>167</v>
      </c>
      <c r="E1276" s="1" t="s">
        <v>1465</v>
      </c>
      <c r="F1276" s="1" t="s">
        <v>151</v>
      </c>
      <c r="G1276" s="1" t="str">
        <f>"10128980157"</f>
        <v>10128980157</v>
      </c>
      <c r="I1276" s="1" t="s">
        <v>1466</v>
      </c>
      <c r="L1276" s="1" t="s">
        <v>43</v>
      </c>
      <c r="M1276" s="1">
        <v>94001.42</v>
      </c>
      <c r="AG1276" s="1">
        <v>0</v>
      </c>
      <c r="AH1276" s="2">
        <v>45281</v>
      </c>
      <c r="AI1276" s="2">
        <v>46022</v>
      </c>
      <c r="AJ1276" s="2">
        <v>45281</v>
      </c>
    </row>
    <row r="1277" spans="1:36">
      <c r="A1277" s="1" t="str">
        <f>"A03AFD0CA4"</f>
        <v>A03AFD0CA4</v>
      </c>
      <c r="B1277" s="1" t="str">
        <f t="shared" si="25"/>
        <v>02406911202</v>
      </c>
      <c r="C1277" s="1" t="s">
        <v>13</v>
      </c>
      <c r="D1277" s="1" t="s">
        <v>167</v>
      </c>
      <c r="E1277" s="1" t="s">
        <v>1467</v>
      </c>
      <c r="F1277" s="1" t="s">
        <v>151</v>
      </c>
      <c r="G1277" s="1" t="str">
        <f>"10852890150"</f>
        <v>10852890150</v>
      </c>
      <c r="I1277" s="1" t="s">
        <v>455</v>
      </c>
      <c r="L1277" s="1" t="s">
        <v>43</v>
      </c>
      <c r="M1277" s="1">
        <v>83481.34</v>
      </c>
      <c r="AG1277" s="1">
        <v>0</v>
      </c>
      <c r="AH1277" s="2">
        <v>45281</v>
      </c>
      <c r="AI1277" s="2">
        <v>46022</v>
      </c>
      <c r="AJ1277" s="2">
        <v>45281</v>
      </c>
    </row>
    <row r="1278" spans="1:36">
      <c r="A1278" s="1" t="str">
        <f>"A03AFE8076"</f>
        <v>A03AFE8076</v>
      </c>
      <c r="B1278" s="1" t="str">
        <f t="shared" si="25"/>
        <v>02406911202</v>
      </c>
      <c r="C1278" s="1" t="s">
        <v>13</v>
      </c>
      <c r="D1278" s="1" t="s">
        <v>167</v>
      </c>
      <c r="E1278" s="1" t="s">
        <v>1468</v>
      </c>
      <c r="F1278" s="1" t="s">
        <v>151</v>
      </c>
      <c r="G1278" s="1" t="str">
        <f>"02774840595"</f>
        <v>02774840595</v>
      </c>
      <c r="I1278" s="1" t="s">
        <v>97</v>
      </c>
      <c r="L1278" s="1" t="s">
        <v>43</v>
      </c>
      <c r="M1278" s="1">
        <v>48909.64</v>
      </c>
      <c r="AG1278" s="1">
        <v>0</v>
      </c>
      <c r="AH1278" s="2">
        <v>45281</v>
      </c>
      <c r="AI1278" s="2">
        <v>46022</v>
      </c>
      <c r="AJ1278" s="2">
        <v>45281</v>
      </c>
    </row>
    <row r="1279" spans="1:36">
      <c r="A1279" s="1" t="str">
        <f>"A03AFED495"</f>
        <v>A03AFED495</v>
      </c>
      <c r="B1279" s="1" t="str">
        <f t="shared" si="25"/>
        <v>02406911202</v>
      </c>
      <c r="C1279" s="1" t="s">
        <v>13</v>
      </c>
      <c r="D1279" s="1" t="s">
        <v>167</v>
      </c>
      <c r="E1279" s="1" t="s">
        <v>1469</v>
      </c>
      <c r="F1279" s="1" t="s">
        <v>151</v>
      </c>
      <c r="G1279" s="1" t="str">
        <f>"11278030157"</f>
        <v>11278030157</v>
      </c>
      <c r="I1279" s="1" t="s">
        <v>1470</v>
      </c>
      <c r="L1279" s="1" t="s">
        <v>43</v>
      </c>
      <c r="M1279" s="1">
        <v>48000</v>
      </c>
      <c r="AG1279" s="1">
        <v>0</v>
      </c>
      <c r="AH1279" s="2">
        <v>45281</v>
      </c>
      <c r="AI1279" s="2">
        <v>46022</v>
      </c>
      <c r="AJ1279" s="2">
        <v>45281</v>
      </c>
    </row>
    <row r="1280" spans="1:36">
      <c r="A1280" s="1" t="str">
        <f>"A03AFFAF4C"</f>
        <v>A03AFFAF4C</v>
      </c>
      <c r="B1280" s="1" t="str">
        <f t="shared" si="25"/>
        <v>02406911202</v>
      </c>
      <c r="C1280" s="1" t="s">
        <v>13</v>
      </c>
      <c r="D1280" s="1" t="s">
        <v>167</v>
      </c>
      <c r="E1280" s="1" t="s">
        <v>1471</v>
      </c>
      <c r="F1280" s="1" t="s">
        <v>151</v>
      </c>
      <c r="H1280" s="1" t="str">
        <f>"28601"</f>
        <v>28601</v>
      </c>
      <c r="I1280" s="1" t="s">
        <v>1472</v>
      </c>
      <c r="L1280" s="1" t="s">
        <v>43</v>
      </c>
      <c r="M1280" s="1">
        <v>256095.6</v>
      </c>
      <c r="AG1280" s="1">
        <v>0</v>
      </c>
      <c r="AH1280" s="2">
        <v>45281</v>
      </c>
      <c r="AI1280" s="2">
        <v>46022</v>
      </c>
      <c r="AJ1280" s="2">
        <v>45281</v>
      </c>
    </row>
    <row r="1281" spans="1:36">
      <c r="A1281" s="1" t="str">
        <f>"A03B00F0A5"</f>
        <v>A03B00F0A5</v>
      </c>
      <c r="B1281" s="1" t="str">
        <f t="shared" si="25"/>
        <v>02406911202</v>
      </c>
      <c r="C1281" s="1" t="s">
        <v>13</v>
      </c>
      <c r="D1281" s="1" t="s">
        <v>167</v>
      </c>
      <c r="E1281" s="1" t="s">
        <v>1473</v>
      </c>
      <c r="F1281" s="1" t="s">
        <v>151</v>
      </c>
      <c r="G1281" s="1" t="str">
        <f>"10616310156"</f>
        <v>10616310156</v>
      </c>
      <c r="I1281" s="1" t="s">
        <v>1474</v>
      </c>
      <c r="L1281" s="1" t="s">
        <v>43</v>
      </c>
      <c r="M1281" s="1">
        <v>153740.97</v>
      </c>
      <c r="AG1281" s="1">
        <v>0</v>
      </c>
      <c r="AH1281" s="2">
        <v>45281</v>
      </c>
      <c r="AI1281" s="2">
        <v>46022</v>
      </c>
      <c r="AJ1281" s="2">
        <v>45281</v>
      </c>
    </row>
    <row r="1282" spans="1:36">
      <c r="A1282" s="1" t="str">
        <f>"A03B01DC2F"</f>
        <v>A03B01DC2F</v>
      </c>
      <c r="B1282" s="1" t="str">
        <f t="shared" ref="B1282:B1345" si="26">"02406911202"</f>
        <v>02406911202</v>
      </c>
      <c r="C1282" s="1" t="s">
        <v>13</v>
      </c>
      <c r="D1282" s="1" t="s">
        <v>167</v>
      </c>
      <c r="E1282" s="1" t="s">
        <v>1475</v>
      </c>
      <c r="F1282" s="1" t="s">
        <v>151</v>
      </c>
      <c r="G1282" s="1" t="str">
        <f>"90032460322"</f>
        <v>90032460322</v>
      </c>
      <c r="I1282" s="1" t="s">
        <v>1476</v>
      </c>
      <c r="L1282" s="1" t="s">
        <v>43</v>
      </c>
      <c r="M1282" s="1">
        <v>60122.41</v>
      </c>
      <c r="AG1282" s="1">
        <v>0</v>
      </c>
      <c r="AH1282" s="2">
        <v>45281</v>
      </c>
      <c r="AI1282" s="2">
        <v>46022</v>
      </c>
      <c r="AJ1282" s="2">
        <v>45281</v>
      </c>
    </row>
    <row r="1283" spans="1:36">
      <c r="A1283" s="1" t="str">
        <f>"A03B044C5E"</f>
        <v>A03B044C5E</v>
      </c>
      <c r="B1283" s="1" t="str">
        <f t="shared" si="26"/>
        <v>02406911202</v>
      </c>
      <c r="C1283" s="1" t="s">
        <v>13</v>
      </c>
      <c r="D1283" s="1" t="s">
        <v>167</v>
      </c>
      <c r="E1283" s="1" t="s">
        <v>1477</v>
      </c>
      <c r="F1283" s="1" t="s">
        <v>151</v>
      </c>
      <c r="G1283" s="1" t="str">
        <f>"11116290153"</f>
        <v>11116290153</v>
      </c>
      <c r="I1283" s="1" t="s">
        <v>96</v>
      </c>
      <c r="L1283" s="1" t="s">
        <v>43</v>
      </c>
      <c r="M1283" s="1">
        <v>123999.26</v>
      </c>
      <c r="AG1283" s="1">
        <v>0</v>
      </c>
      <c r="AH1283" s="2">
        <v>45281</v>
      </c>
      <c r="AI1283" s="2">
        <v>46022</v>
      </c>
      <c r="AJ1283" s="2">
        <v>45281</v>
      </c>
    </row>
    <row r="1284" spans="1:36">
      <c r="A1284" s="1" t="str">
        <f>"A03B04E4A1"</f>
        <v>A03B04E4A1</v>
      </c>
      <c r="B1284" s="1" t="str">
        <f t="shared" si="26"/>
        <v>02406911202</v>
      </c>
      <c r="C1284" s="1" t="s">
        <v>13</v>
      </c>
      <c r="D1284" s="1" t="s">
        <v>167</v>
      </c>
      <c r="E1284" s="1" t="s">
        <v>1478</v>
      </c>
      <c r="F1284" s="1" t="s">
        <v>151</v>
      </c>
      <c r="G1284" s="1" t="str">
        <f>"00962280590"</f>
        <v>00962280590</v>
      </c>
      <c r="I1284" s="1" t="s">
        <v>42</v>
      </c>
      <c r="L1284" s="1" t="s">
        <v>43</v>
      </c>
      <c r="M1284" s="1">
        <v>1237463.3500000001</v>
      </c>
      <c r="AG1284" s="1">
        <v>0</v>
      </c>
      <c r="AH1284" s="2">
        <v>45281</v>
      </c>
      <c r="AI1284" s="2">
        <v>46022</v>
      </c>
      <c r="AJ1284" s="2">
        <v>45281</v>
      </c>
    </row>
    <row r="1285" spans="1:36">
      <c r="A1285" s="1" t="str">
        <f>"A03B06686E"</f>
        <v>A03B06686E</v>
      </c>
      <c r="B1285" s="1" t="str">
        <f t="shared" si="26"/>
        <v>02406911202</v>
      </c>
      <c r="C1285" s="1" t="s">
        <v>13</v>
      </c>
      <c r="D1285" s="1" t="s">
        <v>167</v>
      </c>
      <c r="E1285" s="1" t="s">
        <v>1479</v>
      </c>
      <c r="F1285" s="1" t="s">
        <v>151</v>
      </c>
      <c r="G1285" s="1" t="str">
        <f>"00422760587"</f>
        <v>00422760587</v>
      </c>
      <c r="I1285" s="1" t="s">
        <v>94</v>
      </c>
      <c r="L1285" s="1" t="s">
        <v>43</v>
      </c>
      <c r="M1285" s="1">
        <v>551433.62</v>
      </c>
      <c r="AG1285" s="1">
        <v>0</v>
      </c>
      <c r="AH1285" s="2">
        <v>45281</v>
      </c>
      <c r="AI1285" s="2">
        <v>46022</v>
      </c>
      <c r="AJ1285" s="2">
        <v>45281</v>
      </c>
    </row>
    <row r="1286" spans="1:36">
      <c r="A1286" s="1" t="str">
        <f>"A03B09600D"</f>
        <v>A03B09600D</v>
      </c>
      <c r="B1286" s="1" t="str">
        <f t="shared" si="26"/>
        <v>02406911202</v>
      </c>
      <c r="C1286" s="1" t="s">
        <v>13</v>
      </c>
      <c r="D1286" s="1" t="s">
        <v>167</v>
      </c>
      <c r="E1286" s="1" t="s">
        <v>1480</v>
      </c>
      <c r="F1286" s="1" t="s">
        <v>151</v>
      </c>
      <c r="G1286" s="1" t="str">
        <f>"01286700487"</f>
        <v>01286700487</v>
      </c>
      <c r="I1286" s="1" t="s">
        <v>652</v>
      </c>
      <c r="L1286" s="1" t="s">
        <v>43</v>
      </c>
      <c r="M1286" s="1">
        <v>41975.81</v>
      </c>
      <c r="AG1286" s="1">
        <v>0</v>
      </c>
      <c r="AH1286" s="2">
        <v>45281</v>
      </c>
      <c r="AI1286" s="2">
        <v>46022</v>
      </c>
      <c r="AJ1286" s="2">
        <v>45281</v>
      </c>
    </row>
    <row r="1287" spans="1:36">
      <c r="A1287" s="1" t="str">
        <f>"A03B7DAEF4"</f>
        <v>A03B7DAEF4</v>
      </c>
      <c r="B1287" s="1" t="str">
        <f t="shared" si="26"/>
        <v>02406911202</v>
      </c>
      <c r="C1287" s="1" t="s">
        <v>13</v>
      </c>
      <c r="D1287" s="1" t="s">
        <v>167</v>
      </c>
      <c r="E1287" s="1" t="s">
        <v>1481</v>
      </c>
      <c r="F1287" s="1" t="s">
        <v>39</v>
      </c>
      <c r="G1287" s="1" t="str">
        <f>"07862510018"</f>
        <v>07862510018</v>
      </c>
      <c r="I1287" s="1" t="s">
        <v>330</v>
      </c>
      <c r="L1287" s="1" t="s">
        <v>43</v>
      </c>
      <c r="M1287" s="1">
        <v>124000</v>
      </c>
      <c r="AG1287" s="1">
        <v>0</v>
      </c>
      <c r="AH1287" s="2">
        <v>45275</v>
      </c>
      <c r="AI1287" s="2">
        <v>45640</v>
      </c>
      <c r="AJ1287" s="2">
        <v>45275</v>
      </c>
    </row>
    <row r="1288" spans="1:36">
      <c r="A1288" s="1" t="str">
        <f>"A03C12D0C9"</f>
        <v>A03C12D0C9</v>
      </c>
      <c r="B1288" s="1" t="str">
        <f t="shared" si="26"/>
        <v>02406911202</v>
      </c>
      <c r="C1288" s="1" t="s">
        <v>13</v>
      </c>
      <c r="D1288" s="1" t="s">
        <v>167</v>
      </c>
      <c r="E1288" s="1" t="s">
        <v>1482</v>
      </c>
      <c r="F1288" s="1" t="s">
        <v>151</v>
      </c>
      <c r="G1288" s="1" t="str">
        <f>"12679540968"</f>
        <v>12679540968</v>
      </c>
      <c r="I1288" s="1" t="s">
        <v>1385</v>
      </c>
      <c r="L1288" s="1" t="s">
        <v>43</v>
      </c>
      <c r="M1288" s="1">
        <v>766587.8</v>
      </c>
      <c r="AG1288" s="1">
        <v>0</v>
      </c>
      <c r="AH1288" s="2">
        <v>45281</v>
      </c>
      <c r="AI1288" s="2">
        <v>46022</v>
      </c>
      <c r="AJ1288" s="2">
        <v>45281</v>
      </c>
    </row>
    <row r="1289" spans="1:36">
      <c r="A1289" s="1" t="str">
        <f>"A03C75ECC1"</f>
        <v>A03C75ECC1</v>
      </c>
      <c r="B1289" s="1" t="str">
        <f t="shared" si="26"/>
        <v>02406911202</v>
      </c>
      <c r="C1289" s="1" t="s">
        <v>13</v>
      </c>
      <c r="D1289" s="1" t="s">
        <v>186</v>
      </c>
      <c r="E1289" s="1" t="s">
        <v>1483</v>
      </c>
      <c r="F1289" s="1" t="s">
        <v>158</v>
      </c>
      <c r="G1289" s="1" t="str">
        <f>"01991400670"</f>
        <v>01991400670</v>
      </c>
      <c r="I1289" s="1" t="s">
        <v>409</v>
      </c>
      <c r="L1289" s="1" t="s">
        <v>43</v>
      </c>
      <c r="M1289" s="1">
        <v>738.6</v>
      </c>
      <c r="AG1289" s="1">
        <v>0</v>
      </c>
      <c r="AH1289" s="2">
        <v>45282</v>
      </c>
      <c r="AI1289" s="2">
        <v>46180</v>
      </c>
      <c r="AJ1289" s="2">
        <v>45282</v>
      </c>
    </row>
    <row r="1290" spans="1:36">
      <c r="A1290" s="1" t="str">
        <f>"A03DE6A19A"</f>
        <v>A03DE6A19A</v>
      </c>
      <c r="B1290" s="1" t="str">
        <f t="shared" si="26"/>
        <v>02406911202</v>
      </c>
      <c r="C1290" s="1" t="s">
        <v>13</v>
      </c>
      <c r="D1290" s="1" t="s">
        <v>167</v>
      </c>
      <c r="E1290" s="1" t="s">
        <v>1484</v>
      </c>
      <c r="F1290" s="1" t="s">
        <v>151</v>
      </c>
      <c r="G1290" s="1" t="str">
        <f>"00667690044"</f>
        <v>00667690044</v>
      </c>
      <c r="I1290" s="1" t="s">
        <v>442</v>
      </c>
      <c r="J1290" s="1" t="s">
        <v>1108</v>
      </c>
      <c r="K1290" s="1" t="s">
        <v>141</v>
      </c>
      <c r="AJ1290" s="2">
        <v>45275</v>
      </c>
    </row>
    <row r="1291" spans="1:36">
      <c r="A1291" s="1" t="str">
        <f>"A03DE6A19A"</f>
        <v>A03DE6A19A</v>
      </c>
      <c r="B1291" s="1" t="str">
        <f t="shared" si="26"/>
        <v>02406911202</v>
      </c>
      <c r="C1291" s="1" t="s">
        <v>13</v>
      </c>
      <c r="D1291" s="1" t="s">
        <v>167</v>
      </c>
      <c r="E1291" s="1" t="s">
        <v>1484</v>
      </c>
      <c r="F1291" s="1" t="s">
        <v>151</v>
      </c>
      <c r="G1291" s="1" t="str">
        <f>"04303410726"</f>
        <v>04303410726</v>
      </c>
      <c r="I1291" s="1" t="s">
        <v>986</v>
      </c>
      <c r="J1291" s="1" t="s">
        <v>1108</v>
      </c>
      <c r="K1291" s="1" t="s">
        <v>139</v>
      </c>
      <c r="AJ1291" s="2">
        <v>45275</v>
      </c>
    </row>
    <row r="1292" spans="1:36">
      <c r="A1292" s="1" t="str">
        <f>"A03DE6A19A"</f>
        <v>A03DE6A19A</v>
      </c>
      <c r="B1292" s="1" t="str">
        <f t="shared" si="26"/>
        <v>02406911202</v>
      </c>
      <c r="C1292" s="1" t="s">
        <v>13</v>
      </c>
      <c r="D1292" s="1" t="s">
        <v>167</v>
      </c>
      <c r="E1292" s="1" t="s">
        <v>1484</v>
      </c>
      <c r="F1292" s="1" t="s">
        <v>151</v>
      </c>
      <c r="I1292" s="1" t="s">
        <v>1108</v>
      </c>
      <c r="L1292" s="1" t="s">
        <v>43</v>
      </c>
      <c r="M1292" s="1">
        <v>78690</v>
      </c>
      <c r="AG1292" s="1">
        <v>0</v>
      </c>
      <c r="AH1292" s="2">
        <v>45275</v>
      </c>
      <c r="AI1292" s="2">
        <v>45457</v>
      </c>
      <c r="AJ1292" s="2">
        <v>45275</v>
      </c>
    </row>
    <row r="1293" spans="1:36">
      <c r="A1293" s="1" t="str">
        <f>"A040055F06"</f>
        <v>A040055F06</v>
      </c>
      <c r="B1293" s="1" t="str">
        <f t="shared" si="26"/>
        <v>02406911202</v>
      </c>
      <c r="C1293" s="1" t="s">
        <v>13</v>
      </c>
      <c r="D1293" s="1" t="s">
        <v>167</v>
      </c>
      <c r="E1293" s="1" t="s">
        <v>1485</v>
      </c>
      <c r="F1293" s="1" t="s">
        <v>151</v>
      </c>
      <c r="G1293" s="1" t="str">
        <f>"06068041000"</f>
        <v>06068041000</v>
      </c>
      <c r="I1293" s="1" t="s">
        <v>468</v>
      </c>
      <c r="L1293" s="1" t="s">
        <v>43</v>
      </c>
      <c r="M1293" s="1">
        <v>28248</v>
      </c>
      <c r="AG1293" s="1">
        <v>0</v>
      </c>
      <c r="AH1293" s="2">
        <v>45278</v>
      </c>
      <c r="AI1293" s="2">
        <v>45399</v>
      </c>
      <c r="AJ1293" s="2">
        <v>45278</v>
      </c>
    </row>
    <row r="1294" spans="1:36">
      <c r="A1294" s="1" t="str">
        <f>"A040079CBC"</f>
        <v>A040079CBC</v>
      </c>
      <c r="B1294" s="1" t="str">
        <f t="shared" si="26"/>
        <v>02406911202</v>
      </c>
      <c r="C1294" s="1" t="s">
        <v>13</v>
      </c>
      <c r="D1294" s="1" t="s">
        <v>167</v>
      </c>
      <c r="E1294" s="1" t="s">
        <v>1486</v>
      </c>
      <c r="F1294" s="1" t="s">
        <v>151</v>
      </c>
      <c r="G1294" s="1" t="str">
        <f>"03992220966"</f>
        <v>03992220966</v>
      </c>
      <c r="I1294" s="1" t="s">
        <v>122</v>
      </c>
      <c r="L1294" s="1" t="s">
        <v>43</v>
      </c>
      <c r="M1294" s="1">
        <v>45276</v>
      </c>
      <c r="AG1294" s="1">
        <v>0</v>
      </c>
      <c r="AH1294" s="2">
        <v>45278</v>
      </c>
      <c r="AI1294" s="2">
        <v>45399</v>
      </c>
      <c r="AJ1294" s="2">
        <v>45278</v>
      </c>
    </row>
    <row r="1295" spans="1:36">
      <c r="A1295" s="1" t="str">
        <f>"A04B061653"</f>
        <v>A04B061653</v>
      </c>
      <c r="B1295" s="1" t="str">
        <f t="shared" si="26"/>
        <v>02406911202</v>
      </c>
      <c r="C1295" s="1" t="s">
        <v>13</v>
      </c>
      <c r="D1295" s="1" t="s">
        <v>177</v>
      </c>
      <c r="E1295" s="1" t="s">
        <v>1487</v>
      </c>
      <c r="F1295" s="1" t="s">
        <v>39</v>
      </c>
      <c r="G1295" s="1" t="str">
        <f>"04144000371"</f>
        <v>04144000371</v>
      </c>
      <c r="I1295" s="1" t="s">
        <v>256</v>
      </c>
      <c r="L1295" s="1" t="s">
        <v>43</v>
      </c>
      <c r="M1295" s="1">
        <v>350000</v>
      </c>
      <c r="AG1295" s="1">
        <v>0</v>
      </c>
      <c r="AH1295" s="2">
        <v>45219</v>
      </c>
      <c r="AI1295" s="2">
        <v>45657</v>
      </c>
      <c r="AJ1295" s="2">
        <v>45219</v>
      </c>
    </row>
    <row r="1296" spans="1:36">
      <c r="A1296" s="1" t="str">
        <f>"A04B0D2394"</f>
        <v>A04B0D2394</v>
      </c>
      <c r="B1296" s="1" t="str">
        <f t="shared" si="26"/>
        <v>02406911202</v>
      </c>
      <c r="C1296" s="1" t="s">
        <v>13</v>
      </c>
      <c r="D1296" s="1" t="s">
        <v>177</v>
      </c>
      <c r="E1296" s="1" t="s">
        <v>1488</v>
      </c>
      <c r="F1296" s="1" t="s">
        <v>39</v>
      </c>
      <c r="G1296" s="1" t="str">
        <f>"01433850409"</f>
        <v>01433850409</v>
      </c>
      <c r="I1296" s="1" t="s">
        <v>1489</v>
      </c>
      <c r="L1296" s="1" t="s">
        <v>43</v>
      </c>
      <c r="M1296" s="1">
        <v>75000</v>
      </c>
      <c r="AG1296" s="1">
        <v>0</v>
      </c>
      <c r="AH1296" s="2">
        <v>45180</v>
      </c>
      <c r="AI1296" s="2">
        <v>46387</v>
      </c>
      <c r="AJ1296" s="2">
        <v>45180</v>
      </c>
    </row>
    <row r="1297" spans="1:36">
      <c r="A1297" s="1" t="str">
        <f>"A04B14A69A"</f>
        <v>A04B14A69A</v>
      </c>
      <c r="B1297" s="1" t="str">
        <f t="shared" si="26"/>
        <v>02406911202</v>
      </c>
      <c r="C1297" s="1" t="s">
        <v>13</v>
      </c>
      <c r="D1297" s="1" t="s">
        <v>177</v>
      </c>
      <c r="E1297" s="1" t="s">
        <v>1490</v>
      </c>
      <c r="F1297" s="1" t="s">
        <v>39</v>
      </c>
      <c r="G1297" s="1" t="str">
        <f>"01554711208"</f>
        <v>01554711208</v>
      </c>
      <c r="I1297" s="1" t="s">
        <v>1491</v>
      </c>
      <c r="L1297" s="1" t="s">
        <v>43</v>
      </c>
      <c r="M1297" s="1">
        <v>40000</v>
      </c>
      <c r="AG1297" s="1">
        <v>0</v>
      </c>
      <c r="AH1297" s="2">
        <v>45236</v>
      </c>
      <c r="AI1297" s="2">
        <v>46387</v>
      </c>
      <c r="AJ1297" s="2">
        <v>45236</v>
      </c>
    </row>
    <row r="1298" spans="1:36">
      <c r="A1298" s="1" t="str">
        <f>"Z003D971A1"</f>
        <v>Z003D971A1</v>
      </c>
      <c r="B1298" s="1" t="str">
        <f t="shared" si="26"/>
        <v>02406911202</v>
      </c>
      <c r="C1298" s="1" t="s">
        <v>13</v>
      </c>
      <c r="D1298" s="1" t="s">
        <v>167</v>
      </c>
      <c r="E1298" s="1" t="s">
        <v>1492</v>
      </c>
      <c r="F1298" s="1" t="s">
        <v>158</v>
      </c>
      <c r="G1298" s="1" t="str">
        <f>"00326930377"</f>
        <v>00326930377</v>
      </c>
      <c r="I1298" s="1" t="s">
        <v>1493</v>
      </c>
      <c r="L1298" s="1" t="s">
        <v>43</v>
      </c>
      <c r="M1298" s="1">
        <v>2043</v>
      </c>
      <c r="AG1298" s="1">
        <v>0</v>
      </c>
      <c r="AH1298" s="2">
        <v>45261</v>
      </c>
      <c r="AI1298" s="2">
        <v>45291</v>
      </c>
      <c r="AJ1298" s="2">
        <v>45261</v>
      </c>
    </row>
    <row r="1299" spans="1:36">
      <c r="A1299" s="1" t="str">
        <f>"Z003DC4341"</f>
        <v>Z003DC4341</v>
      </c>
      <c r="B1299" s="1" t="str">
        <f t="shared" si="26"/>
        <v>02406911202</v>
      </c>
      <c r="C1299" s="1" t="s">
        <v>13</v>
      </c>
      <c r="D1299" s="1" t="s">
        <v>180</v>
      </c>
      <c r="E1299" s="1" t="s">
        <v>315</v>
      </c>
      <c r="F1299" s="1" t="s">
        <v>158</v>
      </c>
      <c r="G1299" s="1" t="str">
        <f>"11860771002"</f>
        <v>11860771002</v>
      </c>
      <c r="I1299" s="1" t="s">
        <v>1494</v>
      </c>
      <c r="L1299" s="1" t="s">
        <v>43</v>
      </c>
      <c r="M1299" s="1">
        <v>6000</v>
      </c>
      <c r="AG1299" s="1">
        <v>0</v>
      </c>
      <c r="AH1299" s="2">
        <v>45274</v>
      </c>
      <c r="AI1299" s="2">
        <v>45291</v>
      </c>
      <c r="AJ1299" s="2">
        <v>45274</v>
      </c>
    </row>
    <row r="1300" spans="1:36">
      <c r="A1300" s="1" t="str">
        <f>"Z013CE51A3"</f>
        <v>Z013CE51A3</v>
      </c>
      <c r="B1300" s="1" t="str">
        <f t="shared" si="26"/>
        <v>02406911202</v>
      </c>
      <c r="C1300" s="1" t="s">
        <v>13</v>
      </c>
      <c r="D1300" s="1" t="s">
        <v>180</v>
      </c>
      <c r="E1300" s="1" t="s">
        <v>281</v>
      </c>
      <c r="F1300" s="1" t="s">
        <v>158</v>
      </c>
      <c r="G1300" s="1" t="str">
        <f>"15685941005"</f>
        <v>15685941005</v>
      </c>
      <c r="I1300" s="1" t="s">
        <v>1495</v>
      </c>
      <c r="L1300" s="1" t="s">
        <v>43</v>
      </c>
      <c r="M1300" s="1">
        <v>6000</v>
      </c>
      <c r="AG1300" s="1">
        <v>6795</v>
      </c>
      <c r="AH1300" s="2">
        <v>45217</v>
      </c>
      <c r="AI1300" s="2">
        <v>45291</v>
      </c>
      <c r="AJ1300" s="2">
        <v>45217</v>
      </c>
    </row>
    <row r="1301" spans="1:36">
      <c r="A1301" s="1" t="str">
        <f>"Z013DDAB5B"</f>
        <v>Z013DDAB5B</v>
      </c>
      <c r="B1301" s="1" t="str">
        <f t="shared" si="26"/>
        <v>02406911202</v>
      </c>
      <c r="C1301" s="1" t="s">
        <v>13</v>
      </c>
      <c r="D1301" s="1" t="s">
        <v>177</v>
      </c>
      <c r="E1301" s="1" t="s">
        <v>1496</v>
      </c>
      <c r="F1301" s="1" t="s">
        <v>158</v>
      </c>
      <c r="G1301" s="1" t="str">
        <f>"02574910366"</f>
        <v>02574910366</v>
      </c>
      <c r="I1301" s="1" t="s">
        <v>1497</v>
      </c>
      <c r="L1301" s="1" t="s">
        <v>43</v>
      </c>
      <c r="M1301" s="1">
        <v>800</v>
      </c>
      <c r="AG1301" s="1">
        <v>0</v>
      </c>
      <c r="AH1301" s="2">
        <v>45279</v>
      </c>
      <c r="AI1301" s="2">
        <v>45291</v>
      </c>
      <c r="AJ1301" s="2">
        <v>45279</v>
      </c>
    </row>
    <row r="1302" spans="1:36">
      <c r="A1302" s="1" t="str">
        <f>"Z023CF5E8E"</f>
        <v>Z023CF5E8E</v>
      </c>
      <c r="B1302" s="1" t="str">
        <f t="shared" si="26"/>
        <v>02406911202</v>
      </c>
      <c r="C1302" s="1" t="s">
        <v>13</v>
      </c>
      <c r="D1302" s="1" t="s">
        <v>186</v>
      </c>
      <c r="E1302" s="1" t="s">
        <v>1498</v>
      </c>
      <c r="F1302" s="1" t="s">
        <v>158</v>
      </c>
      <c r="G1302" s="1" t="str">
        <f>"02285440398"</f>
        <v>02285440398</v>
      </c>
      <c r="I1302" s="1" t="s">
        <v>356</v>
      </c>
      <c r="L1302" s="1" t="s">
        <v>43</v>
      </c>
      <c r="M1302" s="1">
        <v>1500</v>
      </c>
      <c r="AG1302" s="1">
        <v>0</v>
      </c>
      <c r="AH1302" s="2">
        <v>45222</v>
      </c>
      <c r="AI1302" s="2">
        <v>45291</v>
      </c>
      <c r="AJ1302" s="2">
        <v>45222</v>
      </c>
    </row>
    <row r="1303" spans="1:36">
      <c r="A1303" s="1" t="str">
        <f>"Z023D7A84A"</f>
        <v>Z023D7A84A</v>
      </c>
      <c r="B1303" s="1" t="str">
        <f t="shared" si="26"/>
        <v>02406911202</v>
      </c>
      <c r="C1303" s="1" t="s">
        <v>13</v>
      </c>
      <c r="D1303" s="1" t="s">
        <v>180</v>
      </c>
      <c r="E1303" s="1" t="s">
        <v>220</v>
      </c>
      <c r="F1303" s="1" t="s">
        <v>158</v>
      </c>
      <c r="G1303" s="1" t="str">
        <f>"00133360081"</f>
        <v>00133360081</v>
      </c>
      <c r="I1303" s="1" t="s">
        <v>188</v>
      </c>
      <c r="L1303" s="1" t="s">
        <v>43</v>
      </c>
      <c r="M1303" s="1">
        <v>6000</v>
      </c>
      <c r="AG1303" s="1">
        <v>0</v>
      </c>
      <c r="AH1303" s="2">
        <v>45259</v>
      </c>
      <c r="AI1303" s="2">
        <v>45657</v>
      </c>
      <c r="AJ1303" s="2">
        <v>45259</v>
      </c>
    </row>
    <row r="1304" spans="1:36">
      <c r="A1304" s="1" t="str">
        <f>"Z033DED304"</f>
        <v>Z033DED304</v>
      </c>
      <c r="B1304" s="1" t="str">
        <f t="shared" si="26"/>
        <v>02406911202</v>
      </c>
      <c r="C1304" s="1" t="s">
        <v>13</v>
      </c>
      <c r="D1304" s="1" t="s">
        <v>186</v>
      </c>
      <c r="E1304" s="1" t="s">
        <v>1499</v>
      </c>
      <c r="F1304" s="1" t="s">
        <v>158</v>
      </c>
      <c r="G1304" s="1" t="str">
        <f>"09284460962"</f>
        <v>09284460962</v>
      </c>
      <c r="I1304" s="1" t="s">
        <v>1404</v>
      </c>
      <c r="L1304" s="1" t="s">
        <v>43</v>
      </c>
      <c r="M1304" s="1">
        <v>6998.6</v>
      </c>
      <c r="AG1304" s="1">
        <v>0</v>
      </c>
      <c r="AH1304" s="2">
        <v>45282</v>
      </c>
      <c r="AI1304" s="2">
        <v>45657</v>
      </c>
      <c r="AJ1304" s="2">
        <v>45282</v>
      </c>
    </row>
    <row r="1305" spans="1:36">
      <c r="A1305" s="1" t="str">
        <f>"Z043C9472B"</f>
        <v>Z043C9472B</v>
      </c>
      <c r="B1305" s="1" t="str">
        <f t="shared" si="26"/>
        <v>02406911202</v>
      </c>
      <c r="C1305" s="1" t="s">
        <v>13</v>
      </c>
      <c r="D1305" s="1" t="s">
        <v>264</v>
      </c>
      <c r="E1305" s="1" t="s">
        <v>1500</v>
      </c>
      <c r="F1305" s="1" t="s">
        <v>158</v>
      </c>
      <c r="G1305" s="1" t="str">
        <f>"01153330426"</f>
        <v>01153330426</v>
      </c>
      <c r="I1305" s="1" t="s">
        <v>693</v>
      </c>
      <c r="L1305" s="1" t="s">
        <v>43</v>
      </c>
      <c r="M1305" s="1">
        <v>5000</v>
      </c>
      <c r="AG1305" s="1">
        <v>0</v>
      </c>
      <c r="AH1305" s="2">
        <v>45194</v>
      </c>
      <c r="AI1305" s="2">
        <v>45291</v>
      </c>
      <c r="AJ1305" s="2">
        <v>45194</v>
      </c>
    </row>
    <row r="1306" spans="1:36">
      <c r="A1306" s="1" t="str">
        <f>"Z043D6F080"</f>
        <v>Z043D6F080</v>
      </c>
      <c r="B1306" s="1" t="str">
        <f t="shared" si="26"/>
        <v>02406911202</v>
      </c>
      <c r="C1306" s="1" t="s">
        <v>13</v>
      </c>
      <c r="D1306" s="1" t="s">
        <v>180</v>
      </c>
      <c r="E1306" s="1" t="s">
        <v>281</v>
      </c>
      <c r="F1306" s="1" t="s">
        <v>158</v>
      </c>
      <c r="G1306" s="1" t="str">
        <f>"09270550016"</f>
        <v>09270550016</v>
      </c>
      <c r="I1306" s="1" t="s">
        <v>406</v>
      </c>
      <c r="L1306" s="1" t="s">
        <v>43</v>
      </c>
      <c r="M1306" s="1">
        <v>6000</v>
      </c>
      <c r="AG1306" s="1">
        <v>0</v>
      </c>
      <c r="AH1306" s="2">
        <v>45254</v>
      </c>
      <c r="AI1306" s="2">
        <v>45291</v>
      </c>
      <c r="AJ1306" s="2">
        <v>45254</v>
      </c>
    </row>
    <row r="1307" spans="1:36">
      <c r="A1307" s="1" t="str">
        <f>"Z053D1E679"</f>
        <v>Z053D1E679</v>
      </c>
      <c r="B1307" s="1" t="str">
        <f t="shared" si="26"/>
        <v>02406911202</v>
      </c>
      <c r="C1307" s="1" t="s">
        <v>13</v>
      </c>
      <c r="D1307" s="1" t="s">
        <v>186</v>
      </c>
      <c r="E1307" s="1" t="s">
        <v>1501</v>
      </c>
      <c r="F1307" s="1" t="s">
        <v>158</v>
      </c>
      <c r="G1307" s="1" t="str">
        <f>"01262470667"</f>
        <v>01262470667</v>
      </c>
      <c r="I1307" s="1" t="s">
        <v>1502</v>
      </c>
      <c r="L1307" s="1" t="s">
        <v>43</v>
      </c>
      <c r="M1307" s="1">
        <v>18499.009999999998</v>
      </c>
      <c r="AG1307" s="1">
        <v>0</v>
      </c>
      <c r="AH1307" s="2">
        <v>45240</v>
      </c>
      <c r="AI1307" s="2">
        <v>45412</v>
      </c>
      <c r="AJ1307" s="2">
        <v>45240</v>
      </c>
    </row>
    <row r="1308" spans="1:36">
      <c r="A1308" s="1" t="str">
        <f>"Z053D459F9"</f>
        <v>Z053D459F9</v>
      </c>
      <c r="B1308" s="1" t="str">
        <f t="shared" si="26"/>
        <v>02406911202</v>
      </c>
      <c r="C1308" s="1" t="s">
        <v>13</v>
      </c>
      <c r="D1308" s="1" t="s">
        <v>177</v>
      </c>
      <c r="E1308" s="1" t="s">
        <v>1503</v>
      </c>
      <c r="F1308" s="1" t="s">
        <v>158</v>
      </c>
      <c r="G1308" s="1" t="str">
        <f>"91417430377"</f>
        <v>91417430377</v>
      </c>
      <c r="I1308" s="1" t="s">
        <v>1504</v>
      </c>
      <c r="L1308" s="1" t="s">
        <v>43</v>
      </c>
      <c r="M1308" s="1">
        <v>1700</v>
      </c>
      <c r="AG1308" s="1">
        <v>0</v>
      </c>
      <c r="AH1308" s="2">
        <v>45139</v>
      </c>
      <c r="AI1308" s="2">
        <v>45291</v>
      </c>
      <c r="AJ1308" s="2">
        <v>45139</v>
      </c>
    </row>
    <row r="1309" spans="1:36">
      <c r="A1309" s="1" t="str">
        <f>"Z053D4D874"</f>
        <v>Z053D4D874</v>
      </c>
      <c r="B1309" s="1" t="str">
        <f t="shared" si="26"/>
        <v>02406911202</v>
      </c>
      <c r="C1309" s="1" t="s">
        <v>13</v>
      </c>
      <c r="D1309" s="1" t="s">
        <v>180</v>
      </c>
      <c r="E1309" s="1" t="s">
        <v>279</v>
      </c>
      <c r="F1309" s="1" t="s">
        <v>158</v>
      </c>
      <c r="G1309" s="1" t="str">
        <f>"12317560154"</f>
        <v>12317560154</v>
      </c>
      <c r="I1309" s="1" t="s">
        <v>1505</v>
      </c>
      <c r="L1309" s="1" t="s">
        <v>43</v>
      </c>
      <c r="M1309" s="1">
        <v>5000</v>
      </c>
      <c r="AG1309" s="1">
        <v>0</v>
      </c>
      <c r="AH1309" s="2">
        <v>45246</v>
      </c>
      <c r="AI1309" s="2">
        <v>45657</v>
      </c>
      <c r="AJ1309" s="2">
        <v>45246</v>
      </c>
    </row>
    <row r="1310" spans="1:36">
      <c r="A1310" s="1" t="str">
        <f>"Z053D67D13"</f>
        <v>Z053D67D13</v>
      </c>
      <c r="B1310" s="1" t="str">
        <f t="shared" si="26"/>
        <v>02406911202</v>
      </c>
      <c r="C1310" s="1" t="s">
        <v>13</v>
      </c>
      <c r="D1310" s="1" t="s">
        <v>180</v>
      </c>
      <c r="E1310" s="1" t="s">
        <v>181</v>
      </c>
      <c r="F1310" s="1" t="s">
        <v>158</v>
      </c>
      <c r="G1310" s="1" t="str">
        <f>"06628701218"</f>
        <v>06628701218</v>
      </c>
      <c r="I1310" s="1" t="s">
        <v>731</v>
      </c>
      <c r="L1310" s="1" t="s">
        <v>43</v>
      </c>
      <c r="M1310" s="1">
        <v>6000</v>
      </c>
      <c r="AG1310" s="1">
        <v>0</v>
      </c>
      <c r="AH1310" s="2">
        <v>45252</v>
      </c>
      <c r="AI1310" s="2">
        <v>45291</v>
      </c>
      <c r="AJ1310" s="2">
        <v>45252</v>
      </c>
    </row>
    <row r="1311" spans="1:36">
      <c r="A1311" s="1" t="str">
        <f>"Z053DB8F37"</f>
        <v>Z053DB8F37</v>
      </c>
      <c r="B1311" s="1" t="str">
        <f t="shared" si="26"/>
        <v>02406911202</v>
      </c>
      <c r="C1311" s="1" t="s">
        <v>13</v>
      </c>
      <c r="D1311" s="1" t="s">
        <v>186</v>
      </c>
      <c r="E1311" s="1" t="s">
        <v>1506</v>
      </c>
      <c r="F1311" s="1" t="s">
        <v>158</v>
      </c>
      <c r="G1311" s="1" t="str">
        <f>"01693020206"</f>
        <v>01693020206</v>
      </c>
      <c r="I1311" s="1" t="s">
        <v>1052</v>
      </c>
      <c r="L1311" s="1" t="s">
        <v>43</v>
      </c>
      <c r="M1311" s="1">
        <v>4999</v>
      </c>
      <c r="AG1311" s="1">
        <v>0</v>
      </c>
      <c r="AH1311" s="2">
        <v>45272</v>
      </c>
      <c r="AI1311" s="2">
        <v>46022</v>
      </c>
      <c r="AJ1311" s="2">
        <v>45272</v>
      </c>
    </row>
    <row r="1312" spans="1:36">
      <c r="A1312" s="1" t="str">
        <f>"Z063CED468"</f>
        <v>Z063CED468</v>
      </c>
      <c r="B1312" s="1" t="str">
        <f t="shared" si="26"/>
        <v>02406911202</v>
      </c>
      <c r="C1312" s="1" t="s">
        <v>13</v>
      </c>
      <c r="D1312" s="1" t="s">
        <v>180</v>
      </c>
      <c r="E1312" s="1" t="s">
        <v>281</v>
      </c>
      <c r="F1312" s="1" t="s">
        <v>158</v>
      </c>
      <c r="G1312" s="1" t="str">
        <f>"15685941005"</f>
        <v>15685941005</v>
      </c>
      <c r="I1312" s="1" t="s">
        <v>1495</v>
      </c>
      <c r="L1312" s="1" t="s">
        <v>43</v>
      </c>
      <c r="M1312" s="1">
        <v>6000</v>
      </c>
      <c r="AG1312" s="1">
        <v>6890</v>
      </c>
      <c r="AH1312" s="2">
        <v>45218</v>
      </c>
      <c r="AI1312" s="2">
        <v>45291</v>
      </c>
      <c r="AJ1312" s="2">
        <v>45218</v>
      </c>
    </row>
    <row r="1313" spans="1:36">
      <c r="A1313" s="1" t="str">
        <f>"Z063D2B2AE"</f>
        <v>Z063D2B2AE</v>
      </c>
      <c r="B1313" s="1" t="str">
        <f t="shared" si="26"/>
        <v>02406911202</v>
      </c>
      <c r="C1313" s="1" t="s">
        <v>13</v>
      </c>
      <c r="D1313" s="1" t="s">
        <v>264</v>
      </c>
      <c r="E1313" s="1" t="s">
        <v>1507</v>
      </c>
      <c r="F1313" s="1" t="s">
        <v>158</v>
      </c>
      <c r="G1313" s="1" t="str">
        <f>"02454100963"</f>
        <v>02454100963</v>
      </c>
      <c r="I1313" s="1" t="s">
        <v>1508</v>
      </c>
      <c r="L1313" s="1" t="s">
        <v>43</v>
      </c>
      <c r="M1313" s="1">
        <v>2700.9</v>
      </c>
      <c r="AG1313" s="1">
        <v>0</v>
      </c>
      <c r="AH1313" s="2">
        <v>45238</v>
      </c>
      <c r="AI1313" s="2">
        <v>45291</v>
      </c>
      <c r="AJ1313" s="2">
        <v>45238</v>
      </c>
    </row>
    <row r="1314" spans="1:36">
      <c r="A1314" s="1" t="str">
        <f>"Z063D8C8A5"</f>
        <v>Z063D8C8A5</v>
      </c>
      <c r="B1314" s="1" t="str">
        <f t="shared" si="26"/>
        <v>02406911202</v>
      </c>
      <c r="C1314" s="1" t="s">
        <v>13</v>
      </c>
      <c r="D1314" s="1" t="s">
        <v>180</v>
      </c>
      <c r="E1314" s="1" t="s">
        <v>279</v>
      </c>
      <c r="F1314" s="1" t="s">
        <v>158</v>
      </c>
      <c r="G1314" s="1" t="str">
        <f>"05848611009"</f>
        <v>05848611009</v>
      </c>
      <c r="I1314" s="1" t="s">
        <v>1509</v>
      </c>
      <c r="L1314" s="1" t="s">
        <v>43</v>
      </c>
      <c r="M1314" s="1">
        <v>5000</v>
      </c>
      <c r="AG1314" s="1">
        <v>0</v>
      </c>
      <c r="AH1314" s="2">
        <v>45261</v>
      </c>
      <c r="AI1314" s="2">
        <v>45657</v>
      </c>
      <c r="AJ1314" s="2">
        <v>45261</v>
      </c>
    </row>
    <row r="1315" spans="1:36">
      <c r="A1315" s="1" t="str">
        <f>"Z073D452AB"</f>
        <v>Z073D452AB</v>
      </c>
      <c r="B1315" s="1" t="str">
        <f t="shared" si="26"/>
        <v>02406911202</v>
      </c>
      <c r="C1315" s="1" t="s">
        <v>13</v>
      </c>
      <c r="D1315" s="1" t="s">
        <v>177</v>
      </c>
      <c r="E1315" s="1" t="s">
        <v>1510</v>
      </c>
      <c r="F1315" s="1" t="s">
        <v>158</v>
      </c>
      <c r="G1315" s="1" t="str">
        <f>"91313180373"</f>
        <v>91313180373</v>
      </c>
      <c r="I1315" s="1" t="s">
        <v>1511</v>
      </c>
      <c r="L1315" s="1" t="s">
        <v>43</v>
      </c>
      <c r="M1315" s="1">
        <v>2400</v>
      </c>
      <c r="AG1315" s="1">
        <v>0</v>
      </c>
      <c r="AH1315" s="2">
        <v>45139</v>
      </c>
      <c r="AI1315" s="2">
        <v>45291</v>
      </c>
      <c r="AJ1315" s="2">
        <v>45139</v>
      </c>
    </row>
    <row r="1316" spans="1:36">
      <c r="A1316" s="1" t="str">
        <f>"Z073D7A0D0"</f>
        <v>Z073D7A0D0</v>
      </c>
      <c r="B1316" s="1" t="str">
        <f t="shared" si="26"/>
        <v>02406911202</v>
      </c>
      <c r="C1316" s="1" t="s">
        <v>13</v>
      </c>
      <c r="D1316" s="1" t="s">
        <v>180</v>
      </c>
      <c r="E1316" s="1" t="s">
        <v>281</v>
      </c>
      <c r="F1316" s="1" t="s">
        <v>158</v>
      </c>
      <c r="G1316" s="1" t="str">
        <f>"01864361207"</f>
        <v>01864361207</v>
      </c>
      <c r="I1316" s="1" t="s">
        <v>1512</v>
      </c>
      <c r="L1316" s="1" t="s">
        <v>43</v>
      </c>
      <c r="M1316" s="1">
        <v>5000</v>
      </c>
      <c r="AG1316" s="1">
        <v>0</v>
      </c>
      <c r="AH1316" s="2">
        <v>45260</v>
      </c>
      <c r="AI1316" s="2">
        <v>45657</v>
      </c>
      <c r="AJ1316" s="2">
        <v>45260</v>
      </c>
    </row>
    <row r="1317" spans="1:36">
      <c r="A1317" s="1" t="str">
        <f>"Z083C44F99"</f>
        <v>Z083C44F99</v>
      </c>
      <c r="B1317" s="1" t="str">
        <f t="shared" si="26"/>
        <v>02406911202</v>
      </c>
      <c r="C1317" s="1" t="s">
        <v>13</v>
      </c>
      <c r="D1317" s="1" t="s">
        <v>164</v>
      </c>
      <c r="E1317" s="1" t="s">
        <v>1513</v>
      </c>
      <c r="F1317" s="1" t="s">
        <v>39</v>
      </c>
      <c r="G1317" s="1" t="str">
        <f>"01486330309"</f>
        <v>01486330309</v>
      </c>
      <c r="I1317" s="1" t="s">
        <v>840</v>
      </c>
      <c r="L1317" s="1" t="s">
        <v>43</v>
      </c>
      <c r="M1317" s="1">
        <v>2006</v>
      </c>
      <c r="AG1317" s="1">
        <v>0</v>
      </c>
      <c r="AH1317" s="2">
        <v>45166</v>
      </c>
      <c r="AI1317" s="2">
        <v>45291</v>
      </c>
      <c r="AJ1317" s="2">
        <v>45166</v>
      </c>
    </row>
    <row r="1318" spans="1:36">
      <c r="A1318" s="1" t="str">
        <f>"Z083C44F99"</f>
        <v>Z083C44F99</v>
      </c>
      <c r="B1318" s="1" t="str">
        <f t="shared" si="26"/>
        <v>02406911202</v>
      </c>
      <c r="C1318" s="1" t="s">
        <v>13</v>
      </c>
      <c r="D1318" s="1" t="s">
        <v>164</v>
      </c>
      <c r="E1318" s="1" t="s">
        <v>1513</v>
      </c>
      <c r="F1318" s="1" t="s">
        <v>39</v>
      </c>
      <c r="G1318" s="1" t="str">
        <f>"03359340837"</f>
        <v>03359340837</v>
      </c>
      <c r="I1318" s="1" t="s">
        <v>759</v>
      </c>
      <c r="L1318" s="1" t="s">
        <v>100</v>
      </c>
      <c r="AJ1318" s="2">
        <v>45166</v>
      </c>
    </row>
    <row r="1319" spans="1:36">
      <c r="A1319" s="1" t="str">
        <f>"Z083C44F99"</f>
        <v>Z083C44F99</v>
      </c>
      <c r="B1319" s="1" t="str">
        <f t="shared" si="26"/>
        <v>02406911202</v>
      </c>
      <c r="C1319" s="1" t="s">
        <v>13</v>
      </c>
      <c r="D1319" s="1" t="s">
        <v>164</v>
      </c>
      <c r="E1319" s="1" t="s">
        <v>1513</v>
      </c>
      <c r="F1319" s="1" t="s">
        <v>39</v>
      </c>
      <c r="G1319" s="1" t="str">
        <f>"02138390360"</f>
        <v>02138390360</v>
      </c>
      <c r="I1319" s="1" t="s">
        <v>839</v>
      </c>
      <c r="L1319" s="1" t="s">
        <v>100</v>
      </c>
      <c r="AJ1319" s="2">
        <v>45166</v>
      </c>
    </row>
    <row r="1320" spans="1:36">
      <c r="A1320" s="1" t="str">
        <f>"Z083C44F99"</f>
        <v>Z083C44F99</v>
      </c>
      <c r="B1320" s="1" t="str">
        <f t="shared" si="26"/>
        <v>02406911202</v>
      </c>
      <c r="C1320" s="1" t="s">
        <v>13</v>
      </c>
      <c r="D1320" s="1" t="s">
        <v>164</v>
      </c>
      <c r="E1320" s="1" t="s">
        <v>1513</v>
      </c>
      <c r="F1320" s="1" t="s">
        <v>39</v>
      </c>
      <c r="G1320" s="1" t="str">
        <f>"PNRGNN63P67B111F"</f>
        <v>PNRGNN63P67B111F</v>
      </c>
      <c r="I1320" s="1" t="s">
        <v>758</v>
      </c>
      <c r="L1320" s="1" t="s">
        <v>100</v>
      </c>
      <c r="AJ1320" s="2">
        <v>45166</v>
      </c>
    </row>
    <row r="1321" spans="1:36">
      <c r="A1321" s="1" t="str">
        <f>"Z083C44F99"</f>
        <v>Z083C44F99</v>
      </c>
      <c r="B1321" s="1" t="str">
        <f t="shared" si="26"/>
        <v>02406911202</v>
      </c>
      <c r="C1321" s="1" t="s">
        <v>13</v>
      </c>
      <c r="D1321" s="1" t="s">
        <v>164</v>
      </c>
      <c r="E1321" s="1" t="s">
        <v>1513</v>
      </c>
      <c r="F1321" s="1" t="s">
        <v>39</v>
      </c>
      <c r="G1321" s="1" t="str">
        <f>"00740430335"</f>
        <v>00740430335</v>
      </c>
      <c r="I1321" s="1" t="s">
        <v>1514</v>
      </c>
      <c r="L1321" s="1" t="s">
        <v>100</v>
      </c>
      <c r="AJ1321" s="2">
        <v>45166</v>
      </c>
    </row>
    <row r="1322" spans="1:36">
      <c r="A1322" s="1" t="str">
        <f>"Z083D6F099"</f>
        <v>Z083D6F099</v>
      </c>
      <c r="B1322" s="1" t="str">
        <f t="shared" si="26"/>
        <v>02406911202</v>
      </c>
      <c r="C1322" s="1" t="s">
        <v>13</v>
      </c>
      <c r="D1322" s="1" t="s">
        <v>180</v>
      </c>
      <c r="E1322" s="1" t="s">
        <v>296</v>
      </c>
      <c r="F1322" s="1" t="s">
        <v>158</v>
      </c>
      <c r="G1322" s="1" t="str">
        <f>"07279701002"</f>
        <v>07279701002</v>
      </c>
      <c r="I1322" s="1" t="s">
        <v>125</v>
      </c>
      <c r="L1322" s="1" t="s">
        <v>43</v>
      </c>
      <c r="M1322" s="1">
        <v>5000</v>
      </c>
      <c r="AG1322" s="1">
        <v>0</v>
      </c>
      <c r="AH1322" s="2">
        <v>45254</v>
      </c>
      <c r="AI1322" s="2">
        <v>45291</v>
      </c>
      <c r="AJ1322" s="2">
        <v>45254</v>
      </c>
    </row>
    <row r="1323" spans="1:36">
      <c r="A1323" s="1" t="str">
        <f>"Z083DAAF7F"</f>
        <v>Z083DAAF7F</v>
      </c>
      <c r="B1323" s="1" t="str">
        <f t="shared" si="26"/>
        <v>02406911202</v>
      </c>
      <c r="C1323" s="1" t="s">
        <v>13</v>
      </c>
      <c r="D1323" s="1" t="s">
        <v>180</v>
      </c>
      <c r="E1323" s="1" t="s">
        <v>315</v>
      </c>
      <c r="F1323" s="1" t="s">
        <v>158</v>
      </c>
      <c r="G1323" s="1" t="str">
        <f>"03197541208"</f>
        <v>03197541208</v>
      </c>
      <c r="I1323" s="1" t="s">
        <v>1515</v>
      </c>
      <c r="L1323" s="1" t="s">
        <v>43</v>
      </c>
      <c r="M1323" s="1">
        <v>6000</v>
      </c>
      <c r="AG1323" s="1">
        <v>0</v>
      </c>
      <c r="AH1323" s="2">
        <v>45267</v>
      </c>
      <c r="AI1323" s="2">
        <v>45657</v>
      </c>
      <c r="AJ1323" s="2">
        <v>45267</v>
      </c>
    </row>
    <row r="1324" spans="1:36">
      <c r="A1324" s="1" t="str">
        <f>"Z093C92F06"</f>
        <v>Z093C92F06</v>
      </c>
      <c r="B1324" s="1" t="str">
        <f t="shared" si="26"/>
        <v>02406911202</v>
      </c>
      <c r="C1324" s="1" t="s">
        <v>13</v>
      </c>
      <c r="D1324" s="1" t="s">
        <v>180</v>
      </c>
      <c r="E1324" s="1" t="s">
        <v>181</v>
      </c>
      <c r="F1324" s="1" t="s">
        <v>158</v>
      </c>
      <c r="G1324" s="1" t="str">
        <f>"01286700487"</f>
        <v>01286700487</v>
      </c>
      <c r="I1324" s="1" t="s">
        <v>652</v>
      </c>
      <c r="L1324" s="1" t="s">
        <v>43</v>
      </c>
      <c r="M1324" s="1">
        <v>5000</v>
      </c>
      <c r="AG1324" s="1">
        <v>4634</v>
      </c>
      <c r="AH1324" s="2">
        <v>45194</v>
      </c>
      <c r="AI1324" s="2">
        <v>45291</v>
      </c>
      <c r="AJ1324" s="2">
        <v>45194</v>
      </c>
    </row>
    <row r="1325" spans="1:36">
      <c r="A1325" s="1" t="str">
        <f>"Z093CF2A84"</f>
        <v>Z093CF2A84</v>
      </c>
      <c r="B1325" s="1" t="str">
        <f t="shared" si="26"/>
        <v>02406911202</v>
      </c>
      <c r="C1325" s="1" t="s">
        <v>13</v>
      </c>
      <c r="D1325" s="1" t="s">
        <v>180</v>
      </c>
      <c r="E1325" s="1" t="s">
        <v>281</v>
      </c>
      <c r="F1325" s="1" t="s">
        <v>158</v>
      </c>
      <c r="G1325" s="1" t="str">
        <f>"04289840268"</f>
        <v>04289840268</v>
      </c>
      <c r="I1325" s="1" t="s">
        <v>302</v>
      </c>
      <c r="L1325" s="1" t="s">
        <v>43</v>
      </c>
      <c r="M1325" s="1">
        <v>6000</v>
      </c>
      <c r="AG1325" s="1">
        <v>6393.05</v>
      </c>
      <c r="AH1325" s="2">
        <v>45219</v>
      </c>
      <c r="AI1325" s="2">
        <v>45291</v>
      </c>
      <c r="AJ1325" s="2">
        <v>45219</v>
      </c>
    </row>
    <row r="1326" spans="1:36">
      <c r="A1326" s="1" t="str">
        <f>"Z093D8D538"</f>
        <v>Z093D8D538</v>
      </c>
      <c r="B1326" s="1" t="str">
        <f t="shared" si="26"/>
        <v>02406911202</v>
      </c>
      <c r="C1326" s="1" t="s">
        <v>13</v>
      </c>
      <c r="D1326" s="1" t="s">
        <v>180</v>
      </c>
      <c r="E1326" s="1" t="s">
        <v>315</v>
      </c>
      <c r="F1326" s="1" t="s">
        <v>158</v>
      </c>
      <c r="G1326" s="1" t="str">
        <f>"11667890153"</f>
        <v>11667890153</v>
      </c>
      <c r="I1326" s="1" t="s">
        <v>224</v>
      </c>
      <c r="L1326" s="1" t="s">
        <v>43</v>
      </c>
      <c r="M1326" s="1">
        <v>6000</v>
      </c>
      <c r="AG1326" s="1">
        <v>0</v>
      </c>
      <c r="AH1326" s="2">
        <v>45261</v>
      </c>
      <c r="AI1326" s="2">
        <v>45657</v>
      </c>
      <c r="AJ1326" s="2">
        <v>45261</v>
      </c>
    </row>
    <row r="1327" spans="1:36">
      <c r="A1327" s="1" t="str">
        <f>"Z093DA0625"</f>
        <v>Z093DA0625</v>
      </c>
      <c r="B1327" s="1" t="str">
        <f t="shared" si="26"/>
        <v>02406911202</v>
      </c>
      <c r="C1327" s="1" t="s">
        <v>13</v>
      </c>
      <c r="D1327" s="1" t="s">
        <v>264</v>
      </c>
      <c r="E1327" s="1" t="s">
        <v>1516</v>
      </c>
      <c r="F1327" s="1" t="s">
        <v>158</v>
      </c>
      <c r="G1327" s="1" t="str">
        <f>"93027710016"</f>
        <v>93027710016</v>
      </c>
      <c r="I1327" s="1" t="s">
        <v>1225</v>
      </c>
      <c r="L1327" s="1" t="s">
        <v>43</v>
      </c>
      <c r="M1327" s="1">
        <v>700</v>
      </c>
      <c r="AG1327" s="1">
        <v>0</v>
      </c>
      <c r="AH1327" s="2">
        <v>45266</v>
      </c>
      <c r="AI1327" s="2">
        <v>45291</v>
      </c>
      <c r="AJ1327" s="2">
        <v>45266</v>
      </c>
    </row>
    <row r="1328" spans="1:36">
      <c r="A1328" s="1" t="str">
        <f>"Z0A3CA556F"</f>
        <v>Z0A3CA556F</v>
      </c>
      <c r="B1328" s="1" t="str">
        <f t="shared" si="26"/>
        <v>02406911202</v>
      </c>
      <c r="C1328" s="1" t="s">
        <v>13</v>
      </c>
      <c r="D1328" s="1" t="s">
        <v>180</v>
      </c>
      <c r="E1328" s="1" t="s">
        <v>220</v>
      </c>
      <c r="F1328" s="1" t="s">
        <v>158</v>
      </c>
      <c r="G1328" s="1" t="str">
        <f>"06068041000"</f>
        <v>06068041000</v>
      </c>
      <c r="I1328" s="1" t="s">
        <v>468</v>
      </c>
      <c r="L1328" s="1" t="s">
        <v>43</v>
      </c>
      <c r="M1328" s="1">
        <v>6000</v>
      </c>
      <c r="AG1328" s="1">
        <v>5500</v>
      </c>
      <c r="AH1328" s="2">
        <v>45198</v>
      </c>
      <c r="AI1328" s="2">
        <v>45291</v>
      </c>
      <c r="AJ1328" s="2">
        <v>45198</v>
      </c>
    </row>
    <row r="1329" spans="1:36">
      <c r="A1329" s="1" t="str">
        <f>"Z0A3CEB03A"</f>
        <v>Z0A3CEB03A</v>
      </c>
      <c r="B1329" s="1" t="str">
        <f t="shared" si="26"/>
        <v>02406911202</v>
      </c>
      <c r="C1329" s="1" t="s">
        <v>13</v>
      </c>
      <c r="D1329" s="1" t="s">
        <v>180</v>
      </c>
      <c r="E1329" s="1" t="s">
        <v>1517</v>
      </c>
      <c r="F1329" s="1" t="s">
        <v>158</v>
      </c>
      <c r="G1329" s="1" t="str">
        <f>"03898780378"</f>
        <v>03898780378</v>
      </c>
      <c r="I1329" s="1" t="s">
        <v>1518</v>
      </c>
      <c r="L1329" s="1" t="s">
        <v>43</v>
      </c>
      <c r="M1329" s="1">
        <v>39999</v>
      </c>
      <c r="AG1329" s="1">
        <v>0</v>
      </c>
      <c r="AH1329" s="2">
        <v>45218</v>
      </c>
      <c r="AI1329" s="2">
        <v>45657</v>
      </c>
      <c r="AJ1329" s="2">
        <v>45218</v>
      </c>
    </row>
    <row r="1330" spans="1:36">
      <c r="A1330" s="1" t="str">
        <f>"Z0A3D4EB73"</f>
        <v>Z0A3D4EB73</v>
      </c>
      <c r="B1330" s="1" t="str">
        <f t="shared" si="26"/>
        <v>02406911202</v>
      </c>
      <c r="C1330" s="1" t="s">
        <v>13</v>
      </c>
      <c r="D1330" s="1" t="s">
        <v>180</v>
      </c>
      <c r="E1330" s="1" t="s">
        <v>315</v>
      </c>
      <c r="F1330" s="1" t="s">
        <v>158</v>
      </c>
      <c r="G1330" s="1" t="str">
        <f>"02445510817"</f>
        <v>02445510817</v>
      </c>
      <c r="I1330" s="1" t="s">
        <v>1519</v>
      </c>
      <c r="L1330" s="1" t="s">
        <v>43</v>
      </c>
      <c r="M1330" s="1">
        <v>5</v>
      </c>
      <c r="AG1330" s="1">
        <v>0</v>
      </c>
      <c r="AH1330" s="2">
        <v>45246</v>
      </c>
      <c r="AI1330" s="2">
        <v>45291</v>
      </c>
      <c r="AJ1330" s="2">
        <v>45246</v>
      </c>
    </row>
    <row r="1331" spans="1:36">
      <c r="A1331" s="1" t="str">
        <f>"Z0B3CBB4B6"</f>
        <v>Z0B3CBB4B6</v>
      </c>
      <c r="B1331" s="1" t="str">
        <f t="shared" si="26"/>
        <v>02406911202</v>
      </c>
      <c r="C1331" s="1" t="s">
        <v>13</v>
      </c>
      <c r="D1331" s="1" t="s">
        <v>180</v>
      </c>
      <c r="E1331" s="1" t="s">
        <v>296</v>
      </c>
      <c r="F1331" s="1" t="s">
        <v>158</v>
      </c>
      <c r="G1331" s="1" t="str">
        <f>"02790240101"</f>
        <v>02790240101</v>
      </c>
      <c r="I1331" s="1" t="s">
        <v>260</v>
      </c>
      <c r="L1331" s="1" t="s">
        <v>43</v>
      </c>
      <c r="M1331" s="1">
        <v>5000</v>
      </c>
      <c r="AG1331" s="1">
        <v>4717.7</v>
      </c>
      <c r="AH1331" s="2">
        <v>45204</v>
      </c>
      <c r="AI1331" s="2">
        <v>45291</v>
      </c>
      <c r="AJ1331" s="2">
        <v>45204</v>
      </c>
    </row>
    <row r="1332" spans="1:36">
      <c r="A1332" s="1" t="str">
        <f>"Z0B3CE8751"</f>
        <v>Z0B3CE8751</v>
      </c>
      <c r="B1332" s="1" t="str">
        <f t="shared" si="26"/>
        <v>02406911202</v>
      </c>
      <c r="C1332" s="1" t="s">
        <v>13</v>
      </c>
      <c r="D1332" s="1" t="s">
        <v>180</v>
      </c>
      <c r="E1332" s="1" t="s">
        <v>296</v>
      </c>
      <c r="F1332" s="1" t="s">
        <v>158</v>
      </c>
      <c r="G1332" s="1" t="str">
        <f>"11160660152"</f>
        <v>11160660152</v>
      </c>
      <c r="I1332" s="1" t="s">
        <v>457</v>
      </c>
      <c r="L1332" s="1" t="s">
        <v>43</v>
      </c>
      <c r="M1332" s="1">
        <v>6000</v>
      </c>
      <c r="AG1332" s="1">
        <v>5600</v>
      </c>
      <c r="AH1332" s="2">
        <v>45217</v>
      </c>
      <c r="AI1332" s="2">
        <v>45291</v>
      </c>
      <c r="AJ1332" s="2">
        <v>45217</v>
      </c>
    </row>
    <row r="1333" spans="1:36">
      <c r="A1333" s="1" t="str">
        <f>"Z0B3D3C1A8"</f>
        <v>Z0B3D3C1A8</v>
      </c>
      <c r="B1333" s="1" t="str">
        <f t="shared" si="26"/>
        <v>02406911202</v>
      </c>
      <c r="C1333" s="1" t="s">
        <v>13</v>
      </c>
      <c r="D1333" s="1" t="s">
        <v>180</v>
      </c>
      <c r="E1333" s="1" t="s">
        <v>281</v>
      </c>
      <c r="F1333" s="1" t="s">
        <v>158</v>
      </c>
      <c r="G1333" s="1" t="str">
        <f>"00514240142"</f>
        <v>00514240142</v>
      </c>
      <c r="I1333" s="1" t="s">
        <v>492</v>
      </c>
      <c r="L1333" s="1" t="s">
        <v>43</v>
      </c>
      <c r="M1333" s="1">
        <v>6000</v>
      </c>
      <c r="AG1333" s="1">
        <v>0</v>
      </c>
      <c r="AH1333" s="2">
        <v>45243</v>
      </c>
      <c r="AI1333" s="2">
        <v>45291</v>
      </c>
      <c r="AJ1333" s="2">
        <v>45243</v>
      </c>
    </row>
    <row r="1334" spans="1:36">
      <c r="A1334" s="1" t="str">
        <f>"Z0C3D64CF5"</f>
        <v>Z0C3D64CF5</v>
      </c>
      <c r="B1334" s="1" t="str">
        <f t="shared" si="26"/>
        <v>02406911202</v>
      </c>
      <c r="C1334" s="1" t="s">
        <v>13</v>
      </c>
      <c r="D1334" s="1" t="s">
        <v>180</v>
      </c>
      <c r="E1334" s="1" t="s">
        <v>296</v>
      </c>
      <c r="F1334" s="1" t="s">
        <v>158</v>
      </c>
      <c r="G1334" s="1" t="str">
        <f>"07620470018"</f>
        <v>07620470018</v>
      </c>
      <c r="I1334" s="1" t="s">
        <v>1520</v>
      </c>
      <c r="L1334" s="1" t="s">
        <v>43</v>
      </c>
      <c r="M1334" s="1">
        <v>5000</v>
      </c>
      <c r="AG1334" s="1">
        <v>0</v>
      </c>
      <c r="AH1334" s="2">
        <v>45250</v>
      </c>
      <c r="AI1334" s="2">
        <v>45657</v>
      </c>
      <c r="AJ1334" s="2">
        <v>45250</v>
      </c>
    </row>
    <row r="1335" spans="1:36">
      <c r="A1335" s="1" t="str">
        <f>"Z0C3DB6BD8"</f>
        <v>Z0C3DB6BD8</v>
      </c>
      <c r="B1335" s="1" t="str">
        <f t="shared" si="26"/>
        <v>02406911202</v>
      </c>
      <c r="C1335" s="1" t="s">
        <v>13</v>
      </c>
      <c r="D1335" s="1" t="s">
        <v>167</v>
      </c>
      <c r="E1335" s="1" t="s">
        <v>1521</v>
      </c>
      <c r="F1335" s="1" t="s">
        <v>158</v>
      </c>
      <c r="G1335" s="1" t="str">
        <f>"00399810589"</f>
        <v>00399810589</v>
      </c>
      <c r="I1335" s="1" t="s">
        <v>1522</v>
      </c>
      <c r="L1335" s="1" t="s">
        <v>43</v>
      </c>
      <c r="M1335" s="1">
        <v>1126.45</v>
      </c>
      <c r="AG1335" s="1">
        <v>0</v>
      </c>
      <c r="AH1335" s="2">
        <v>45273</v>
      </c>
      <c r="AI1335" s="2">
        <v>45273</v>
      </c>
      <c r="AJ1335" s="2">
        <v>45273</v>
      </c>
    </row>
    <row r="1336" spans="1:36">
      <c r="A1336" s="1" t="str">
        <f>"Z0C3DBC8FD"</f>
        <v>Z0C3DBC8FD</v>
      </c>
      <c r="B1336" s="1" t="str">
        <f t="shared" si="26"/>
        <v>02406911202</v>
      </c>
      <c r="C1336" s="1" t="s">
        <v>13</v>
      </c>
      <c r="D1336" s="1" t="s">
        <v>180</v>
      </c>
      <c r="E1336" s="1" t="s">
        <v>220</v>
      </c>
      <c r="F1336" s="1" t="s">
        <v>158</v>
      </c>
      <c r="G1336" s="1" t="str">
        <f>"04384410017"</f>
        <v>04384410017</v>
      </c>
      <c r="I1336" s="1" t="s">
        <v>833</v>
      </c>
      <c r="L1336" s="1" t="s">
        <v>43</v>
      </c>
      <c r="M1336" s="1">
        <v>5000</v>
      </c>
      <c r="AG1336" s="1">
        <v>0</v>
      </c>
      <c r="AH1336" s="2">
        <v>45288</v>
      </c>
      <c r="AI1336" s="2">
        <v>45657</v>
      </c>
      <c r="AJ1336" s="2">
        <v>45288</v>
      </c>
    </row>
    <row r="1337" spans="1:36">
      <c r="A1337" s="1" t="str">
        <f>"Z0D3C9B95E"</f>
        <v>Z0D3C9B95E</v>
      </c>
      <c r="B1337" s="1" t="str">
        <f t="shared" si="26"/>
        <v>02406911202</v>
      </c>
      <c r="C1337" s="1" t="s">
        <v>13</v>
      </c>
      <c r="D1337" s="1" t="s">
        <v>180</v>
      </c>
      <c r="E1337" s="1" t="s">
        <v>281</v>
      </c>
      <c r="F1337" s="1" t="s">
        <v>158</v>
      </c>
      <c r="G1337" s="1" t="str">
        <f>"07747160153"</f>
        <v>07747160153</v>
      </c>
      <c r="I1337" s="1" t="s">
        <v>446</v>
      </c>
      <c r="L1337" s="1" t="s">
        <v>43</v>
      </c>
      <c r="M1337" s="1">
        <v>6000</v>
      </c>
      <c r="AG1337" s="1">
        <v>6635</v>
      </c>
      <c r="AH1337" s="2">
        <v>45196</v>
      </c>
      <c r="AI1337" s="2">
        <v>45291</v>
      </c>
      <c r="AJ1337" s="2">
        <v>45196</v>
      </c>
    </row>
    <row r="1338" spans="1:36">
      <c r="A1338" s="1" t="str">
        <f>"Z0D3CA39CF"</f>
        <v>Z0D3CA39CF</v>
      </c>
      <c r="B1338" s="1" t="str">
        <f t="shared" si="26"/>
        <v>02406911202</v>
      </c>
      <c r="C1338" s="1" t="s">
        <v>13</v>
      </c>
      <c r="D1338" s="1" t="s">
        <v>186</v>
      </c>
      <c r="E1338" s="1" t="s">
        <v>1523</v>
      </c>
      <c r="F1338" s="1" t="s">
        <v>158</v>
      </c>
      <c r="G1338" s="1" t="str">
        <f>"01846710364"</f>
        <v>01846710364</v>
      </c>
      <c r="I1338" s="1" t="s">
        <v>1524</v>
      </c>
      <c r="L1338" s="1" t="s">
        <v>43</v>
      </c>
      <c r="M1338" s="1">
        <v>4999</v>
      </c>
      <c r="AG1338" s="1">
        <v>968.75</v>
      </c>
      <c r="AH1338" s="2">
        <v>45197</v>
      </c>
      <c r="AI1338" s="2">
        <v>46022</v>
      </c>
      <c r="AJ1338" s="2">
        <v>45197</v>
      </c>
    </row>
    <row r="1339" spans="1:36">
      <c r="A1339" s="1" t="str">
        <f>"Z0D3CC1A3D"</f>
        <v>Z0D3CC1A3D</v>
      </c>
      <c r="B1339" s="1" t="str">
        <f t="shared" si="26"/>
        <v>02406911202</v>
      </c>
      <c r="C1339" s="1" t="s">
        <v>13</v>
      </c>
      <c r="D1339" s="1" t="s">
        <v>264</v>
      </c>
      <c r="E1339" s="1" t="s">
        <v>1525</v>
      </c>
      <c r="F1339" s="1" t="s">
        <v>158</v>
      </c>
      <c r="G1339" s="1" t="str">
        <f>"00856750153"</f>
        <v>00856750153</v>
      </c>
      <c r="I1339" s="1" t="s">
        <v>299</v>
      </c>
      <c r="L1339" s="1" t="s">
        <v>43</v>
      </c>
      <c r="M1339" s="1">
        <v>34000</v>
      </c>
      <c r="AG1339" s="1">
        <v>0</v>
      </c>
      <c r="AH1339" s="2">
        <v>45205</v>
      </c>
      <c r="AI1339" s="2">
        <v>45250</v>
      </c>
      <c r="AJ1339" s="2">
        <v>45205</v>
      </c>
    </row>
    <row r="1340" spans="1:36">
      <c r="A1340" s="1" t="str">
        <f>"Z0D3D67F3B"</f>
        <v>Z0D3D67F3B</v>
      </c>
      <c r="B1340" s="1" t="str">
        <f t="shared" si="26"/>
        <v>02406911202</v>
      </c>
      <c r="C1340" s="1" t="s">
        <v>13</v>
      </c>
      <c r="D1340" s="1" t="s">
        <v>180</v>
      </c>
      <c r="E1340" s="1" t="s">
        <v>281</v>
      </c>
      <c r="F1340" s="1" t="s">
        <v>158</v>
      </c>
      <c r="G1340" s="1" t="str">
        <f>"07747160153"</f>
        <v>07747160153</v>
      </c>
      <c r="I1340" s="1" t="s">
        <v>446</v>
      </c>
      <c r="L1340" s="1" t="s">
        <v>43</v>
      </c>
      <c r="M1340" s="1">
        <v>6000</v>
      </c>
      <c r="AG1340" s="1">
        <v>0</v>
      </c>
      <c r="AH1340" s="2">
        <v>45252</v>
      </c>
      <c r="AI1340" s="2">
        <v>45291</v>
      </c>
      <c r="AJ1340" s="2">
        <v>45252</v>
      </c>
    </row>
    <row r="1341" spans="1:36">
      <c r="A1341" s="1" t="str">
        <f>"Z0D3DB14DA"</f>
        <v>Z0D3DB14DA</v>
      </c>
      <c r="B1341" s="1" t="str">
        <f t="shared" si="26"/>
        <v>02406911202</v>
      </c>
      <c r="C1341" s="1" t="s">
        <v>13</v>
      </c>
      <c r="D1341" s="1" t="s">
        <v>180</v>
      </c>
      <c r="E1341" s="1" t="s">
        <v>220</v>
      </c>
      <c r="F1341" s="1" t="s">
        <v>158</v>
      </c>
      <c r="G1341" s="1" t="str">
        <f>"09238800156"</f>
        <v>09238800156</v>
      </c>
      <c r="I1341" s="1" t="s">
        <v>92</v>
      </c>
      <c r="L1341" s="1" t="s">
        <v>43</v>
      </c>
      <c r="M1341" s="1">
        <v>5000</v>
      </c>
      <c r="AG1341" s="1">
        <v>0</v>
      </c>
      <c r="AH1341" s="2">
        <v>45288</v>
      </c>
      <c r="AI1341" s="2">
        <v>45638</v>
      </c>
      <c r="AJ1341" s="2">
        <v>45288</v>
      </c>
    </row>
    <row r="1342" spans="1:36">
      <c r="A1342" s="1" t="str">
        <f>"Z0E3CC1791"</f>
        <v>Z0E3CC1791</v>
      </c>
      <c r="B1342" s="1" t="str">
        <f t="shared" si="26"/>
        <v>02406911202</v>
      </c>
      <c r="C1342" s="1" t="s">
        <v>13</v>
      </c>
      <c r="D1342" s="1" t="s">
        <v>180</v>
      </c>
      <c r="E1342" s="1" t="s">
        <v>281</v>
      </c>
      <c r="F1342" s="1" t="s">
        <v>158</v>
      </c>
      <c r="G1342" s="1" t="str">
        <f>"03353370160"</f>
        <v>03353370160</v>
      </c>
      <c r="I1342" s="1" t="s">
        <v>478</v>
      </c>
      <c r="L1342" s="1" t="s">
        <v>43</v>
      </c>
      <c r="M1342" s="1">
        <v>6000</v>
      </c>
      <c r="AG1342" s="1">
        <v>2029.92</v>
      </c>
      <c r="AH1342" s="2">
        <v>45208</v>
      </c>
      <c r="AI1342" s="2">
        <v>45291</v>
      </c>
      <c r="AJ1342" s="2">
        <v>45208</v>
      </c>
    </row>
    <row r="1343" spans="1:36">
      <c r="A1343" s="1" t="str">
        <f>"Z0E3DBC88C"</f>
        <v>Z0E3DBC88C</v>
      </c>
      <c r="B1343" s="1" t="str">
        <f t="shared" si="26"/>
        <v>02406911202</v>
      </c>
      <c r="C1343" s="1" t="s">
        <v>13</v>
      </c>
      <c r="D1343" s="1" t="s">
        <v>180</v>
      </c>
      <c r="E1343" s="1" t="s">
        <v>220</v>
      </c>
      <c r="F1343" s="1" t="s">
        <v>158</v>
      </c>
      <c r="G1343" s="1" t="str">
        <f>"11160660152"</f>
        <v>11160660152</v>
      </c>
      <c r="I1343" s="1" t="s">
        <v>457</v>
      </c>
      <c r="L1343" s="1" t="s">
        <v>43</v>
      </c>
      <c r="M1343" s="1">
        <v>6000</v>
      </c>
      <c r="AG1343" s="1">
        <v>0</v>
      </c>
      <c r="AH1343" s="2">
        <v>45288</v>
      </c>
      <c r="AI1343" s="2">
        <v>45657</v>
      </c>
      <c r="AJ1343" s="2">
        <v>45288</v>
      </c>
    </row>
    <row r="1344" spans="1:36">
      <c r="A1344" s="1" t="str">
        <f>"Z0F3C9E120"</f>
        <v>Z0F3C9E120</v>
      </c>
      <c r="B1344" s="1" t="str">
        <f t="shared" si="26"/>
        <v>02406911202</v>
      </c>
      <c r="C1344" s="1" t="s">
        <v>13</v>
      </c>
      <c r="D1344" s="1" t="s">
        <v>180</v>
      </c>
      <c r="E1344" s="1" t="s">
        <v>281</v>
      </c>
      <c r="F1344" s="1" t="s">
        <v>158</v>
      </c>
      <c r="G1344" s="1" t="str">
        <f>"04289840268"</f>
        <v>04289840268</v>
      </c>
      <c r="I1344" s="1" t="s">
        <v>302</v>
      </c>
      <c r="L1344" s="1" t="s">
        <v>43</v>
      </c>
      <c r="M1344" s="1">
        <v>6000</v>
      </c>
      <c r="AG1344" s="1">
        <v>6375.8</v>
      </c>
      <c r="AH1344" s="2">
        <v>45196</v>
      </c>
      <c r="AI1344" s="2">
        <v>45291</v>
      </c>
      <c r="AJ1344" s="2">
        <v>45196</v>
      </c>
    </row>
    <row r="1345" spans="1:36">
      <c r="A1345" s="1" t="str">
        <f>"Z0F3CA7D05"</f>
        <v>Z0F3CA7D05</v>
      </c>
      <c r="B1345" s="1" t="str">
        <f t="shared" si="26"/>
        <v>02406911202</v>
      </c>
      <c r="C1345" s="1" t="s">
        <v>13</v>
      </c>
      <c r="D1345" s="1" t="s">
        <v>167</v>
      </c>
      <c r="E1345" s="1" t="s">
        <v>1302</v>
      </c>
      <c r="F1345" s="1" t="s">
        <v>151</v>
      </c>
      <c r="G1345" s="1" t="str">
        <f>"05870050589"</f>
        <v>05870050589</v>
      </c>
      <c r="I1345" s="1" t="s">
        <v>1526</v>
      </c>
      <c r="L1345" s="1" t="s">
        <v>43</v>
      </c>
      <c r="M1345" s="1">
        <v>4500</v>
      </c>
      <c r="AG1345" s="1">
        <v>1080</v>
      </c>
      <c r="AH1345" s="2">
        <v>45200</v>
      </c>
      <c r="AI1345" s="2">
        <v>45382</v>
      </c>
      <c r="AJ1345" s="2">
        <v>45200</v>
      </c>
    </row>
    <row r="1346" spans="1:36">
      <c r="A1346" s="1" t="str">
        <f>"Z0F3D34150"</f>
        <v>Z0F3D34150</v>
      </c>
      <c r="B1346" s="1" t="str">
        <f t="shared" ref="B1346:B1409" si="27">"02406911202"</f>
        <v>02406911202</v>
      </c>
      <c r="C1346" s="1" t="s">
        <v>13</v>
      </c>
      <c r="D1346" s="1" t="s">
        <v>180</v>
      </c>
      <c r="E1346" s="1" t="s">
        <v>279</v>
      </c>
      <c r="F1346" s="1" t="s">
        <v>158</v>
      </c>
      <c r="H1346" s="1" t="str">
        <f>"U56725128"</f>
        <v>U56725128</v>
      </c>
      <c r="I1346" s="1" t="s">
        <v>1527</v>
      </c>
      <c r="L1346" s="1" t="s">
        <v>43</v>
      </c>
      <c r="M1346" s="1">
        <v>6000</v>
      </c>
      <c r="AG1346" s="1">
        <v>3858</v>
      </c>
      <c r="AH1346" s="2">
        <v>45239</v>
      </c>
      <c r="AI1346" s="2">
        <v>45291</v>
      </c>
      <c r="AJ1346" s="2">
        <v>45239</v>
      </c>
    </row>
    <row r="1347" spans="1:36">
      <c r="A1347" s="1" t="str">
        <f>"Z0F3D7538D"</f>
        <v>Z0F3D7538D</v>
      </c>
      <c r="B1347" s="1" t="str">
        <f t="shared" si="27"/>
        <v>02406911202</v>
      </c>
      <c r="C1347" s="1" t="s">
        <v>13</v>
      </c>
      <c r="D1347" s="1" t="s">
        <v>180</v>
      </c>
      <c r="E1347" s="1" t="s">
        <v>296</v>
      </c>
      <c r="F1347" s="1" t="s">
        <v>158</v>
      </c>
      <c r="G1347" s="1" t="str">
        <f>"03524050238"</f>
        <v>03524050238</v>
      </c>
      <c r="I1347" s="1" t="s">
        <v>171</v>
      </c>
      <c r="L1347" s="1" t="s">
        <v>43</v>
      </c>
      <c r="M1347" s="1">
        <v>5000</v>
      </c>
      <c r="AG1347" s="1">
        <v>0</v>
      </c>
      <c r="AH1347" s="2">
        <v>45257</v>
      </c>
      <c r="AI1347" s="2">
        <v>45291</v>
      </c>
      <c r="AJ1347" s="2">
        <v>45257</v>
      </c>
    </row>
    <row r="1348" spans="1:36">
      <c r="A1348" s="1" t="str">
        <f>"Z0F3DBD0A9"</f>
        <v>Z0F3DBD0A9</v>
      </c>
      <c r="B1348" s="1" t="str">
        <f t="shared" si="27"/>
        <v>02406911202</v>
      </c>
      <c r="C1348" s="1" t="s">
        <v>13</v>
      </c>
      <c r="D1348" s="1" t="s">
        <v>180</v>
      </c>
      <c r="E1348" s="1" t="s">
        <v>281</v>
      </c>
      <c r="F1348" s="1" t="s">
        <v>158</v>
      </c>
      <c r="G1348" s="1" t="str">
        <f>"15685941005"</f>
        <v>15685941005</v>
      </c>
      <c r="I1348" s="1" t="s">
        <v>1495</v>
      </c>
      <c r="L1348" s="1" t="s">
        <v>43</v>
      </c>
      <c r="M1348" s="1">
        <v>6000</v>
      </c>
      <c r="AG1348" s="1">
        <v>0</v>
      </c>
      <c r="AH1348" s="2">
        <v>45289</v>
      </c>
      <c r="AI1348" s="2">
        <v>45322</v>
      </c>
      <c r="AJ1348" s="2">
        <v>45289</v>
      </c>
    </row>
    <row r="1349" spans="1:36">
      <c r="A1349" s="1" t="str">
        <f>"Z0F3DFFC64"</f>
        <v>Z0F3DFFC64</v>
      </c>
      <c r="B1349" s="1" t="str">
        <f t="shared" si="27"/>
        <v>02406911202</v>
      </c>
      <c r="C1349" s="1" t="s">
        <v>13</v>
      </c>
      <c r="D1349" s="1" t="s">
        <v>186</v>
      </c>
      <c r="E1349" s="1" t="s">
        <v>353</v>
      </c>
      <c r="F1349" s="1" t="s">
        <v>158</v>
      </c>
      <c r="G1349" s="1" t="str">
        <f>"00323270371"</f>
        <v>00323270371</v>
      </c>
      <c r="I1349" s="1" t="s">
        <v>1528</v>
      </c>
      <c r="L1349" s="1" t="s">
        <v>43</v>
      </c>
      <c r="M1349" s="1">
        <v>250</v>
      </c>
      <c r="AG1349" s="1">
        <v>0</v>
      </c>
      <c r="AH1349" s="2">
        <v>45261</v>
      </c>
      <c r="AI1349" s="2">
        <v>45288</v>
      </c>
      <c r="AJ1349" s="2">
        <v>45261</v>
      </c>
    </row>
    <row r="1350" spans="1:36">
      <c r="A1350" s="1" t="str">
        <f>"Z0F3E03F10"</f>
        <v>Z0F3E03F10</v>
      </c>
      <c r="B1350" s="1" t="str">
        <f t="shared" si="27"/>
        <v>02406911202</v>
      </c>
      <c r="C1350" s="1" t="s">
        <v>13</v>
      </c>
      <c r="D1350" s="1" t="s">
        <v>264</v>
      </c>
      <c r="E1350" s="1" t="s">
        <v>1529</v>
      </c>
      <c r="F1350" s="1" t="s">
        <v>158</v>
      </c>
      <c r="G1350" s="1" t="str">
        <f>"04760660961"</f>
        <v>04760660961</v>
      </c>
      <c r="I1350" s="1" t="s">
        <v>1530</v>
      </c>
      <c r="L1350" s="1" t="s">
        <v>43</v>
      </c>
      <c r="M1350" s="1">
        <v>1200</v>
      </c>
      <c r="AG1350" s="1">
        <v>0</v>
      </c>
      <c r="AH1350" s="2">
        <v>45281</v>
      </c>
      <c r="AI1350" s="2">
        <v>45291</v>
      </c>
      <c r="AJ1350" s="2">
        <v>45281</v>
      </c>
    </row>
    <row r="1351" spans="1:36">
      <c r="A1351" s="1" t="str">
        <f>"Z103D2BD38"</f>
        <v>Z103D2BD38</v>
      </c>
      <c r="B1351" s="1" t="str">
        <f t="shared" si="27"/>
        <v>02406911202</v>
      </c>
      <c r="C1351" s="1" t="s">
        <v>13</v>
      </c>
      <c r="D1351" s="1" t="s">
        <v>180</v>
      </c>
      <c r="E1351" s="1" t="s">
        <v>181</v>
      </c>
      <c r="F1351" s="1" t="s">
        <v>158</v>
      </c>
      <c r="G1351" s="1" t="str">
        <f>"12679540968"</f>
        <v>12679540968</v>
      </c>
      <c r="I1351" s="1" t="s">
        <v>1385</v>
      </c>
      <c r="L1351" s="1" t="s">
        <v>43</v>
      </c>
      <c r="M1351" s="1">
        <v>5000</v>
      </c>
      <c r="AG1351" s="1">
        <v>0</v>
      </c>
      <c r="AH1351" s="2">
        <v>45238</v>
      </c>
      <c r="AI1351" s="2">
        <v>45291</v>
      </c>
      <c r="AJ1351" s="2">
        <v>45238</v>
      </c>
    </row>
    <row r="1352" spans="1:36">
      <c r="A1352" s="1" t="str">
        <f>"Z103DBCB0C"</f>
        <v>Z103DBCB0C</v>
      </c>
      <c r="B1352" s="1" t="str">
        <f t="shared" si="27"/>
        <v>02406911202</v>
      </c>
      <c r="C1352" s="1" t="s">
        <v>13</v>
      </c>
      <c r="D1352" s="1" t="s">
        <v>180</v>
      </c>
      <c r="E1352" s="1" t="s">
        <v>220</v>
      </c>
      <c r="F1352" s="1" t="s">
        <v>158</v>
      </c>
      <c r="G1352" s="1" t="str">
        <f>"00133360081"</f>
        <v>00133360081</v>
      </c>
      <c r="I1352" s="1" t="s">
        <v>188</v>
      </c>
      <c r="L1352" s="1" t="s">
        <v>43</v>
      </c>
      <c r="M1352" s="1">
        <v>5000</v>
      </c>
      <c r="AG1352" s="1">
        <v>0</v>
      </c>
      <c r="AH1352" s="2">
        <v>45288</v>
      </c>
      <c r="AI1352" s="2">
        <v>45657</v>
      </c>
      <c r="AJ1352" s="2">
        <v>45288</v>
      </c>
    </row>
    <row r="1353" spans="1:36">
      <c r="A1353" s="1" t="str">
        <f>"Z103DC583C"</f>
        <v>Z103DC583C</v>
      </c>
      <c r="B1353" s="1" t="str">
        <f t="shared" si="27"/>
        <v>02406911202</v>
      </c>
      <c r="C1353" s="1" t="s">
        <v>13</v>
      </c>
      <c r="D1353" s="1" t="s">
        <v>186</v>
      </c>
      <c r="E1353" s="1" t="s">
        <v>1531</v>
      </c>
      <c r="F1353" s="1" t="s">
        <v>158</v>
      </c>
      <c r="G1353" s="1" t="str">
        <f>"12676030153"</f>
        <v>12676030153</v>
      </c>
      <c r="I1353" s="1" t="s">
        <v>1532</v>
      </c>
      <c r="L1353" s="1" t="s">
        <v>43</v>
      </c>
      <c r="M1353" s="1">
        <v>1000</v>
      </c>
      <c r="AG1353" s="1">
        <v>0</v>
      </c>
      <c r="AH1353" s="2">
        <v>45274</v>
      </c>
      <c r="AI1353" s="2">
        <v>46370</v>
      </c>
      <c r="AJ1353" s="2">
        <v>45274</v>
      </c>
    </row>
    <row r="1354" spans="1:36">
      <c r="A1354" s="1" t="str">
        <f>"Z103DF5500"</f>
        <v>Z103DF5500</v>
      </c>
      <c r="B1354" s="1" t="str">
        <f t="shared" si="27"/>
        <v>02406911202</v>
      </c>
      <c r="C1354" s="1" t="s">
        <v>13</v>
      </c>
      <c r="D1354" s="1" t="s">
        <v>186</v>
      </c>
      <c r="E1354" s="1" t="s">
        <v>1533</v>
      </c>
      <c r="F1354" s="1" t="s">
        <v>158</v>
      </c>
      <c r="G1354" s="1" t="str">
        <f>"03584631208"</f>
        <v>03584631208</v>
      </c>
      <c r="I1354" s="1" t="s">
        <v>1534</v>
      </c>
      <c r="L1354" s="1" t="s">
        <v>43</v>
      </c>
      <c r="M1354" s="1">
        <v>400</v>
      </c>
      <c r="AG1354" s="1">
        <v>0</v>
      </c>
      <c r="AH1354" s="2">
        <v>45261</v>
      </c>
      <c r="AI1354" s="2">
        <v>45287</v>
      </c>
      <c r="AJ1354" s="2">
        <v>45261</v>
      </c>
    </row>
    <row r="1355" spans="1:36">
      <c r="A1355" s="1" t="str">
        <f>"Z113CA2456"</f>
        <v>Z113CA2456</v>
      </c>
      <c r="B1355" s="1" t="str">
        <f t="shared" si="27"/>
        <v>02406911202</v>
      </c>
      <c r="C1355" s="1" t="s">
        <v>13</v>
      </c>
      <c r="D1355" s="1" t="s">
        <v>180</v>
      </c>
      <c r="E1355" s="1" t="s">
        <v>1535</v>
      </c>
      <c r="F1355" s="1" t="s">
        <v>158</v>
      </c>
      <c r="G1355" s="1" t="str">
        <f>"02130320035"</f>
        <v>02130320035</v>
      </c>
      <c r="I1355" s="1" t="s">
        <v>367</v>
      </c>
      <c r="L1355" s="1" t="s">
        <v>43</v>
      </c>
      <c r="M1355" s="1">
        <v>5000</v>
      </c>
      <c r="AG1355" s="1">
        <v>0</v>
      </c>
      <c r="AH1355" s="2">
        <v>45197</v>
      </c>
      <c r="AI1355" s="2">
        <v>45657</v>
      </c>
      <c r="AJ1355" s="2">
        <v>45197</v>
      </c>
    </row>
    <row r="1356" spans="1:36">
      <c r="A1356" s="1" t="str">
        <f>"Z113D6DB7E"</f>
        <v>Z113D6DB7E</v>
      </c>
      <c r="B1356" s="1" t="str">
        <f t="shared" si="27"/>
        <v>02406911202</v>
      </c>
      <c r="C1356" s="1" t="s">
        <v>13</v>
      </c>
      <c r="D1356" s="1" t="s">
        <v>264</v>
      </c>
      <c r="E1356" s="1" t="s">
        <v>1536</v>
      </c>
      <c r="F1356" s="1" t="s">
        <v>158</v>
      </c>
      <c r="G1356" s="1" t="str">
        <f>"02503150373"</f>
        <v>02503150373</v>
      </c>
      <c r="I1356" s="1" t="s">
        <v>1537</v>
      </c>
      <c r="L1356" s="1" t="s">
        <v>43</v>
      </c>
      <c r="M1356" s="1">
        <v>1731</v>
      </c>
      <c r="AG1356" s="1">
        <v>0</v>
      </c>
      <c r="AH1356" s="2">
        <v>45253</v>
      </c>
      <c r="AI1356" s="2">
        <v>45260</v>
      </c>
      <c r="AJ1356" s="2">
        <v>45253</v>
      </c>
    </row>
    <row r="1357" spans="1:36">
      <c r="A1357" s="1" t="str">
        <f>"Z113D8AC3C"</f>
        <v>Z113D8AC3C</v>
      </c>
      <c r="B1357" s="1" t="str">
        <f t="shared" si="27"/>
        <v>02406911202</v>
      </c>
      <c r="C1357" s="1" t="s">
        <v>13</v>
      </c>
      <c r="D1357" s="1" t="s">
        <v>186</v>
      </c>
      <c r="E1357" s="1" t="s">
        <v>1538</v>
      </c>
      <c r="F1357" s="1" t="s">
        <v>158</v>
      </c>
      <c r="G1357" s="1" t="str">
        <f>"00926020066"</f>
        <v>00926020066</v>
      </c>
      <c r="I1357" s="1" t="s">
        <v>772</v>
      </c>
      <c r="L1357" s="1" t="s">
        <v>43</v>
      </c>
      <c r="M1357" s="1">
        <v>35923</v>
      </c>
      <c r="AG1357" s="1">
        <v>0</v>
      </c>
      <c r="AH1357" s="2">
        <v>45279</v>
      </c>
      <c r="AI1357" s="2">
        <v>45657</v>
      </c>
      <c r="AJ1357" s="2">
        <v>45279</v>
      </c>
    </row>
    <row r="1358" spans="1:36">
      <c r="A1358" s="1" t="str">
        <f>"Z113DA026B"</f>
        <v>Z113DA026B</v>
      </c>
      <c r="B1358" s="1" t="str">
        <f t="shared" si="27"/>
        <v>02406911202</v>
      </c>
      <c r="C1358" s="1" t="s">
        <v>13</v>
      </c>
      <c r="D1358" s="1" t="s">
        <v>186</v>
      </c>
      <c r="E1358" s="1" t="s">
        <v>1539</v>
      </c>
      <c r="F1358" s="1" t="s">
        <v>158</v>
      </c>
      <c r="G1358" s="1" t="str">
        <f>"11703230158"</f>
        <v>11703230158</v>
      </c>
      <c r="I1358" s="1" t="s">
        <v>946</v>
      </c>
      <c r="L1358" s="1" t="s">
        <v>43</v>
      </c>
      <c r="M1358" s="1">
        <v>4999</v>
      </c>
      <c r="AG1358" s="1">
        <v>0</v>
      </c>
      <c r="AH1358" s="2">
        <v>45266</v>
      </c>
      <c r="AI1358" s="2">
        <v>45991</v>
      </c>
      <c r="AJ1358" s="2">
        <v>45266</v>
      </c>
    </row>
    <row r="1359" spans="1:36">
      <c r="A1359" s="1" t="str">
        <f>"Z123CAFF40"</f>
        <v>Z123CAFF40</v>
      </c>
      <c r="B1359" s="1" t="str">
        <f t="shared" si="27"/>
        <v>02406911202</v>
      </c>
      <c r="C1359" s="1" t="s">
        <v>13</v>
      </c>
      <c r="D1359" s="1" t="s">
        <v>180</v>
      </c>
      <c r="E1359" s="1" t="s">
        <v>281</v>
      </c>
      <c r="F1359" s="1" t="s">
        <v>158</v>
      </c>
      <c r="G1359" s="1" t="str">
        <f>"07747160153"</f>
        <v>07747160153</v>
      </c>
      <c r="I1359" s="1" t="s">
        <v>446</v>
      </c>
      <c r="L1359" s="1" t="s">
        <v>43</v>
      </c>
      <c r="M1359" s="1">
        <v>6000</v>
      </c>
      <c r="AG1359" s="1">
        <v>6325</v>
      </c>
      <c r="AH1359" s="2">
        <v>45202</v>
      </c>
      <c r="AI1359" s="2">
        <v>45291</v>
      </c>
      <c r="AJ1359" s="2">
        <v>45202</v>
      </c>
    </row>
    <row r="1360" spans="1:36">
      <c r="A1360" s="1" t="str">
        <f>"Z123CB19B9"</f>
        <v>Z123CB19B9</v>
      </c>
      <c r="B1360" s="1" t="str">
        <f t="shared" si="27"/>
        <v>02406911202</v>
      </c>
      <c r="C1360" s="1" t="s">
        <v>13</v>
      </c>
      <c r="D1360" s="1" t="s">
        <v>167</v>
      </c>
      <c r="E1360" s="1" t="s">
        <v>1540</v>
      </c>
      <c r="F1360" s="1" t="s">
        <v>151</v>
      </c>
      <c r="G1360" s="1" t="str">
        <f>"02457060032"</f>
        <v>02457060032</v>
      </c>
      <c r="I1360" s="1" t="s">
        <v>320</v>
      </c>
      <c r="L1360" s="1" t="s">
        <v>43</v>
      </c>
      <c r="M1360" s="1">
        <v>158.4</v>
      </c>
      <c r="AG1360" s="1">
        <v>0</v>
      </c>
      <c r="AH1360" s="2">
        <v>45215</v>
      </c>
      <c r="AI1360" s="2">
        <v>45945</v>
      </c>
      <c r="AJ1360" s="2">
        <v>45215</v>
      </c>
    </row>
    <row r="1361" spans="1:36">
      <c r="A1361" s="1" t="str">
        <f>"Z123DBD07D"</f>
        <v>Z123DBD07D</v>
      </c>
      <c r="B1361" s="1" t="str">
        <f t="shared" si="27"/>
        <v>02406911202</v>
      </c>
      <c r="C1361" s="1" t="s">
        <v>13</v>
      </c>
      <c r="D1361" s="1" t="s">
        <v>180</v>
      </c>
      <c r="E1361" s="1" t="s">
        <v>281</v>
      </c>
      <c r="F1361" s="1" t="s">
        <v>158</v>
      </c>
      <c r="G1361" s="1" t="str">
        <f>"01535310427"</f>
        <v>01535310427</v>
      </c>
      <c r="I1361" s="1" t="s">
        <v>1373</v>
      </c>
      <c r="L1361" s="1" t="s">
        <v>43</v>
      </c>
      <c r="M1361" s="1">
        <v>6000</v>
      </c>
      <c r="AG1361" s="1">
        <v>0</v>
      </c>
      <c r="AH1361" s="2">
        <v>45287</v>
      </c>
      <c r="AI1361" s="2">
        <v>45657</v>
      </c>
      <c r="AJ1361" s="2">
        <v>45287</v>
      </c>
    </row>
    <row r="1362" spans="1:36">
      <c r="A1362" s="1" t="str">
        <f>"Z133CC0744"</f>
        <v>Z133CC0744</v>
      </c>
      <c r="B1362" s="1" t="str">
        <f t="shared" si="27"/>
        <v>02406911202</v>
      </c>
      <c r="C1362" s="1" t="s">
        <v>13</v>
      </c>
      <c r="D1362" s="1" t="s">
        <v>186</v>
      </c>
      <c r="E1362" s="1" t="s">
        <v>1541</v>
      </c>
      <c r="F1362" s="1" t="s">
        <v>158</v>
      </c>
      <c r="G1362" s="1" t="str">
        <f>"00983620394"</f>
        <v>00983620394</v>
      </c>
      <c r="I1362" s="1" t="s">
        <v>1542</v>
      </c>
      <c r="L1362" s="1" t="s">
        <v>43</v>
      </c>
      <c r="M1362" s="1">
        <v>4999</v>
      </c>
      <c r="AG1362" s="1">
        <v>2475</v>
      </c>
      <c r="AH1362" s="2">
        <v>45205</v>
      </c>
      <c r="AI1362" s="2">
        <v>45382</v>
      </c>
      <c r="AJ1362" s="2">
        <v>45205</v>
      </c>
    </row>
    <row r="1363" spans="1:36">
      <c r="A1363" s="1" t="str">
        <f>"Z133D4C5AD"</f>
        <v>Z133D4C5AD</v>
      </c>
      <c r="B1363" s="1" t="str">
        <f t="shared" si="27"/>
        <v>02406911202</v>
      </c>
      <c r="C1363" s="1" t="s">
        <v>13</v>
      </c>
      <c r="D1363" s="1" t="s">
        <v>167</v>
      </c>
      <c r="E1363" s="1" t="s">
        <v>1403</v>
      </c>
      <c r="F1363" s="1" t="s">
        <v>151</v>
      </c>
      <c r="G1363" s="1" t="str">
        <f>"04720630633"</f>
        <v>04720630633</v>
      </c>
      <c r="I1363" s="1" t="s">
        <v>1543</v>
      </c>
      <c r="L1363" s="1" t="s">
        <v>43</v>
      </c>
      <c r="M1363" s="1">
        <v>34000</v>
      </c>
      <c r="AG1363" s="1">
        <v>0</v>
      </c>
      <c r="AH1363" s="2">
        <v>45250</v>
      </c>
      <c r="AI1363" s="2">
        <v>45615</v>
      </c>
      <c r="AJ1363" s="2">
        <v>45250</v>
      </c>
    </row>
    <row r="1364" spans="1:36">
      <c r="A1364" s="1" t="str">
        <f>"Z133D81CA5"</f>
        <v>Z133D81CA5</v>
      </c>
      <c r="B1364" s="1" t="str">
        <f t="shared" si="27"/>
        <v>02406911202</v>
      </c>
      <c r="C1364" s="1" t="s">
        <v>13</v>
      </c>
      <c r="D1364" s="1" t="s">
        <v>177</v>
      </c>
      <c r="E1364" s="1" t="s">
        <v>1544</v>
      </c>
      <c r="F1364" s="1" t="s">
        <v>158</v>
      </c>
      <c r="G1364" s="1" t="str">
        <f>"03560821203"</f>
        <v>03560821203</v>
      </c>
      <c r="I1364" s="1" t="s">
        <v>1545</v>
      </c>
      <c r="L1364" s="1" t="s">
        <v>43</v>
      </c>
      <c r="M1364" s="1">
        <v>106.55</v>
      </c>
      <c r="AG1364" s="1">
        <v>0</v>
      </c>
      <c r="AH1364" s="2">
        <v>45257</v>
      </c>
      <c r="AI1364" s="2">
        <v>45291</v>
      </c>
      <c r="AJ1364" s="2">
        <v>45257</v>
      </c>
    </row>
    <row r="1365" spans="1:36">
      <c r="A1365" s="1" t="str">
        <f>"Z143D467D2"</f>
        <v>Z143D467D2</v>
      </c>
      <c r="B1365" s="1" t="str">
        <f t="shared" si="27"/>
        <v>02406911202</v>
      </c>
      <c r="C1365" s="1" t="s">
        <v>13</v>
      </c>
      <c r="D1365" s="1" t="s">
        <v>264</v>
      </c>
      <c r="E1365" s="1" t="s">
        <v>1546</v>
      </c>
      <c r="F1365" s="1" t="s">
        <v>158</v>
      </c>
      <c r="G1365" s="1" t="str">
        <f>"00856750153"</f>
        <v>00856750153</v>
      </c>
      <c r="I1365" s="1" t="s">
        <v>299</v>
      </c>
      <c r="L1365" s="1" t="s">
        <v>43</v>
      </c>
      <c r="M1365" s="1">
        <v>43090.7</v>
      </c>
      <c r="AG1365" s="1">
        <v>0</v>
      </c>
      <c r="AH1365" s="2">
        <v>45108</v>
      </c>
      <c r="AI1365" s="2">
        <v>45322</v>
      </c>
      <c r="AJ1365" s="2">
        <v>45108</v>
      </c>
    </row>
    <row r="1366" spans="1:36">
      <c r="A1366" s="1" t="str">
        <f>"Z163CA1504"</f>
        <v>Z163CA1504</v>
      </c>
      <c r="B1366" s="1" t="str">
        <f t="shared" si="27"/>
        <v>02406911202</v>
      </c>
      <c r="C1366" s="1" t="s">
        <v>13</v>
      </c>
      <c r="D1366" s="1" t="s">
        <v>186</v>
      </c>
      <c r="E1366" s="1" t="s">
        <v>1547</v>
      </c>
      <c r="F1366" s="1" t="s">
        <v>158</v>
      </c>
      <c r="G1366" s="1" t="str">
        <f>"00136740404"</f>
        <v>00136740404</v>
      </c>
      <c r="I1366" s="1" t="s">
        <v>398</v>
      </c>
      <c r="L1366" s="1" t="s">
        <v>43</v>
      </c>
      <c r="M1366" s="1">
        <v>4999</v>
      </c>
      <c r="AG1366" s="1">
        <v>0</v>
      </c>
      <c r="AH1366" s="2">
        <v>45197</v>
      </c>
      <c r="AI1366" s="2">
        <v>45657</v>
      </c>
      <c r="AJ1366" s="2">
        <v>45197</v>
      </c>
    </row>
    <row r="1367" spans="1:36">
      <c r="A1367" s="1" t="str">
        <f>"Z163D7A0EF"</f>
        <v>Z163D7A0EF</v>
      </c>
      <c r="B1367" s="1" t="str">
        <f t="shared" si="27"/>
        <v>02406911202</v>
      </c>
      <c r="C1367" s="1" t="s">
        <v>13</v>
      </c>
      <c r="D1367" s="1" t="s">
        <v>180</v>
      </c>
      <c r="E1367" s="1" t="s">
        <v>296</v>
      </c>
      <c r="F1367" s="1" t="s">
        <v>158</v>
      </c>
      <c r="G1367" s="1" t="str">
        <f>"00133360081"</f>
        <v>00133360081</v>
      </c>
      <c r="I1367" s="1" t="s">
        <v>188</v>
      </c>
      <c r="L1367" s="1" t="s">
        <v>43</v>
      </c>
      <c r="M1367" s="1">
        <v>5000</v>
      </c>
      <c r="AG1367" s="1">
        <v>0</v>
      </c>
      <c r="AH1367" s="2">
        <v>45260</v>
      </c>
      <c r="AI1367" s="2">
        <v>45657</v>
      </c>
      <c r="AJ1367" s="2">
        <v>45260</v>
      </c>
    </row>
    <row r="1368" spans="1:36">
      <c r="A1368" s="1" t="str">
        <f>"Z173BA9845"</f>
        <v>Z173BA9845</v>
      </c>
      <c r="B1368" s="1" t="str">
        <f t="shared" si="27"/>
        <v>02406911202</v>
      </c>
      <c r="C1368" s="1" t="s">
        <v>13</v>
      </c>
      <c r="D1368" s="1" t="s">
        <v>167</v>
      </c>
      <c r="E1368" s="1" t="s">
        <v>1548</v>
      </c>
      <c r="F1368" s="1" t="s">
        <v>151</v>
      </c>
      <c r="G1368" s="1" t="str">
        <f>"10842790965"</f>
        <v>10842790965</v>
      </c>
      <c r="I1368" s="1" t="s">
        <v>1549</v>
      </c>
      <c r="L1368" s="1" t="s">
        <v>43</v>
      </c>
      <c r="M1368" s="1">
        <v>11812.5</v>
      </c>
      <c r="AG1368" s="1">
        <v>0</v>
      </c>
      <c r="AH1368" s="2">
        <v>45237</v>
      </c>
      <c r="AI1368" s="2">
        <v>46022</v>
      </c>
      <c r="AJ1368" s="2">
        <v>45237</v>
      </c>
    </row>
    <row r="1369" spans="1:36">
      <c r="A1369" s="1" t="str">
        <f>"Z173CE2E63"</f>
        <v>Z173CE2E63</v>
      </c>
      <c r="B1369" s="1" t="str">
        <f t="shared" si="27"/>
        <v>02406911202</v>
      </c>
      <c r="C1369" s="1" t="s">
        <v>13</v>
      </c>
      <c r="D1369" s="1" t="s">
        <v>180</v>
      </c>
      <c r="E1369" s="1" t="s">
        <v>281</v>
      </c>
      <c r="F1369" s="1" t="s">
        <v>158</v>
      </c>
      <c r="G1369" s="1" t="str">
        <f>"07093190960"</f>
        <v>07093190960</v>
      </c>
      <c r="I1369" s="1" t="s">
        <v>482</v>
      </c>
      <c r="L1369" s="1" t="s">
        <v>43</v>
      </c>
      <c r="M1369" s="1">
        <v>6000</v>
      </c>
      <c r="AG1369" s="1">
        <v>5460</v>
      </c>
      <c r="AH1369" s="2">
        <v>45216</v>
      </c>
      <c r="AI1369" s="2">
        <v>45291</v>
      </c>
      <c r="AJ1369" s="2">
        <v>45216</v>
      </c>
    </row>
    <row r="1370" spans="1:36">
      <c r="A1370" s="1" t="str">
        <f>"Z173D199F2"</f>
        <v>Z173D199F2</v>
      </c>
      <c r="B1370" s="1" t="str">
        <f t="shared" si="27"/>
        <v>02406911202</v>
      </c>
      <c r="C1370" s="1" t="s">
        <v>13</v>
      </c>
      <c r="D1370" s="1" t="s">
        <v>180</v>
      </c>
      <c r="E1370" s="1" t="s">
        <v>279</v>
      </c>
      <c r="F1370" s="1" t="s">
        <v>158</v>
      </c>
      <c r="G1370" s="1" t="str">
        <f>"04185110154"</f>
        <v>04185110154</v>
      </c>
      <c r="I1370" s="1" t="s">
        <v>1027</v>
      </c>
      <c r="L1370" s="1" t="s">
        <v>43</v>
      </c>
      <c r="M1370" s="1">
        <v>5000</v>
      </c>
      <c r="AG1370" s="1">
        <v>0</v>
      </c>
      <c r="AH1370" s="2">
        <v>45232</v>
      </c>
      <c r="AI1370" s="2">
        <v>45657</v>
      </c>
      <c r="AJ1370" s="2">
        <v>45232</v>
      </c>
    </row>
    <row r="1371" spans="1:36">
      <c r="A1371" s="1" t="str">
        <f>"Z183CB1C52"</f>
        <v>Z183CB1C52</v>
      </c>
      <c r="B1371" s="1" t="str">
        <f t="shared" si="27"/>
        <v>02406911202</v>
      </c>
      <c r="C1371" s="1" t="s">
        <v>13</v>
      </c>
      <c r="D1371" s="1" t="s">
        <v>167</v>
      </c>
      <c r="E1371" s="1" t="s">
        <v>1550</v>
      </c>
      <c r="F1371" s="1" t="s">
        <v>151</v>
      </c>
      <c r="G1371" s="1" t="str">
        <f>"02256250446"</f>
        <v>02256250446</v>
      </c>
      <c r="I1371" s="1" t="s">
        <v>403</v>
      </c>
      <c r="L1371" s="1" t="s">
        <v>43</v>
      </c>
      <c r="M1371" s="1">
        <v>21160</v>
      </c>
      <c r="AG1371" s="1">
        <v>0</v>
      </c>
      <c r="AH1371" s="2">
        <v>45215</v>
      </c>
      <c r="AI1371" s="2">
        <v>45945</v>
      </c>
      <c r="AJ1371" s="2">
        <v>45215</v>
      </c>
    </row>
    <row r="1372" spans="1:36">
      <c r="A1372" s="1" t="str">
        <f>"Z183CDB900"</f>
        <v>Z183CDB900</v>
      </c>
      <c r="B1372" s="1" t="str">
        <f t="shared" si="27"/>
        <v>02406911202</v>
      </c>
      <c r="C1372" s="1" t="s">
        <v>13</v>
      </c>
      <c r="D1372" s="1" t="s">
        <v>180</v>
      </c>
      <c r="E1372" s="1" t="s">
        <v>281</v>
      </c>
      <c r="F1372" s="1" t="s">
        <v>158</v>
      </c>
      <c r="G1372" s="1" t="str">
        <f>"07747160153"</f>
        <v>07747160153</v>
      </c>
      <c r="I1372" s="1" t="s">
        <v>446</v>
      </c>
      <c r="L1372" s="1" t="s">
        <v>43</v>
      </c>
      <c r="M1372" s="1">
        <v>6000</v>
      </c>
      <c r="AG1372" s="1">
        <v>6975</v>
      </c>
      <c r="AH1372" s="2">
        <v>45215</v>
      </c>
      <c r="AI1372" s="2">
        <v>45291</v>
      </c>
      <c r="AJ1372" s="2">
        <v>45215</v>
      </c>
    </row>
    <row r="1373" spans="1:36">
      <c r="A1373" s="1" t="str">
        <f>"Z183D45063"</f>
        <v>Z183D45063</v>
      </c>
      <c r="B1373" s="1" t="str">
        <f t="shared" si="27"/>
        <v>02406911202</v>
      </c>
      <c r="C1373" s="1" t="s">
        <v>13</v>
      </c>
      <c r="D1373" s="1" t="s">
        <v>177</v>
      </c>
      <c r="E1373" s="1" t="s">
        <v>1551</v>
      </c>
      <c r="F1373" s="1" t="s">
        <v>158</v>
      </c>
      <c r="G1373" s="1" t="str">
        <f>"91416890373"</f>
        <v>91416890373</v>
      </c>
      <c r="I1373" s="1" t="s">
        <v>1552</v>
      </c>
      <c r="L1373" s="1" t="s">
        <v>43</v>
      </c>
      <c r="M1373" s="1">
        <v>2500</v>
      </c>
      <c r="AG1373" s="1">
        <v>0</v>
      </c>
      <c r="AH1373" s="2">
        <v>45139</v>
      </c>
      <c r="AI1373" s="2">
        <v>45291</v>
      </c>
      <c r="AJ1373" s="2">
        <v>45139</v>
      </c>
    </row>
    <row r="1374" spans="1:36">
      <c r="A1374" s="1" t="str">
        <f>"Z193CAD409"</f>
        <v>Z193CAD409</v>
      </c>
      <c r="B1374" s="1" t="str">
        <f t="shared" si="27"/>
        <v>02406911202</v>
      </c>
      <c r="C1374" s="1" t="s">
        <v>13</v>
      </c>
      <c r="D1374" s="1" t="s">
        <v>264</v>
      </c>
      <c r="E1374" s="1" t="s">
        <v>1553</v>
      </c>
      <c r="F1374" s="1" t="s">
        <v>1554</v>
      </c>
      <c r="G1374" s="1" t="str">
        <f>"01164270199"</f>
        <v>01164270199</v>
      </c>
      <c r="I1374" s="1" t="s">
        <v>1555</v>
      </c>
      <c r="L1374" s="1" t="s">
        <v>43</v>
      </c>
      <c r="M1374" s="1">
        <v>9900</v>
      </c>
      <c r="AG1374" s="1">
        <v>0</v>
      </c>
      <c r="AH1374" s="2">
        <v>45201</v>
      </c>
      <c r="AI1374" s="2">
        <v>45243</v>
      </c>
      <c r="AJ1374" s="2">
        <v>45201</v>
      </c>
    </row>
    <row r="1375" spans="1:36">
      <c r="A1375" s="1" t="str">
        <f>"Z193D9465D"</f>
        <v>Z193D9465D</v>
      </c>
      <c r="B1375" s="1" t="str">
        <f t="shared" si="27"/>
        <v>02406911202</v>
      </c>
      <c r="C1375" s="1" t="s">
        <v>13</v>
      </c>
      <c r="D1375" s="1" t="s">
        <v>180</v>
      </c>
      <c r="E1375" s="1" t="s">
        <v>220</v>
      </c>
      <c r="F1375" s="1" t="s">
        <v>158</v>
      </c>
      <c r="G1375" s="1" t="str">
        <f>"01740391204"</f>
        <v>01740391204</v>
      </c>
      <c r="I1375" s="1" t="s">
        <v>1556</v>
      </c>
      <c r="L1375" s="1" t="s">
        <v>43</v>
      </c>
      <c r="M1375" s="1">
        <v>6000</v>
      </c>
      <c r="AG1375" s="1">
        <v>0</v>
      </c>
      <c r="AH1375" s="2">
        <v>45271</v>
      </c>
      <c r="AI1375" s="2">
        <v>45657</v>
      </c>
      <c r="AJ1375" s="2">
        <v>45271</v>
      </c>
    </row>
    <row r="1376" spans="1:36">
      <c r="A1376" s="1" t="str">
        <f>"Z1C3DBA229"</f>
        <v>Z1C3DBA229</v>
      </c>
      <c r="B1376" s="1" t="str">
        <f t="shared" si="27"/>
        <v>02406911202</v>
      </c>
      <c r="C1376" s="1" t="s">
        <v>13</v>
      </c>
      <c r="D1376" s="1" t="s">
        <v>186</v>
      </c>
      <c r="E1376" s="1" t="s">
        <v>1557</v>
      </c>
      <c r="F1376" s="1" t="s">
        <v>158</v>
      </c>
      <c r="G1376" s="1" t="str">
        <f>"12572900152"</f>
        <v>12572900152</v>
      </c>
      <c r="I1376" s="1" t="s">
        <v>335</v>
      </c>
      <c r="L1376" s="1" t="s">
        <v>43</v>
      </c>
      <c r="M1376" s="1">
        <v>4999</v>
      </c>
      <c r="AG1376" s="1">
        <v>0</v>
      </c>
      <c r="AH1376" s="2">
        <v>45272</v>
      </c>
      <c r="AI1376" s="2">
        <v>45657</v>
      </c>
      <c r="AJ1376" s="2">
        <v>45272</v>
      </c>
    </row>
    <row r="1377" spans="1:36">
      <c r="A1377" s="1" t="str">
        <f>"Z1C3DBC961"</f>
        <v>Z1C3DBC961</v>
      </c>
      <c r="B1377" s="1" t="str">
        <f t="shared" si="27"/>
        <v>02406911202</v>
      </c>
      <c r="C1377" s="1" t="s">
        <v>13</v>
      </c>
      <c r="D1377" s="1" t="s">
        <v>180</v>
      </c>
      <c r="E1377" s="1" t="s">
        <v>281</v>
      </c>
      <c r="F1377" s="1" t="s">
        <v>158</v>
      </c>
      <c r="G1377" s="1" t="str">
        <f>"08082461008"</f>
        <v>08082461008</v>
      </c>
      <c r="I1377" s="1" t="s">
        <v>88</v>
      </c>
      <c r="L1377" s="1" t="s">
        <v>43</v>
      </c>
      <c r="M1377" s="1">
        <v>6000</v>
      </c>
      <c r="AG1377" s="1">
        <v>0</v>
      </c>
      <c r="AH1377" s="2">
        <v>45287</v>
      </c>
      <c r="AI1377" s="2">
        <v>45657</v>
      </c>
      <c r="AJ1377" s="2">
        <v>45287</v>
      </c>
    </row>
    <row r="1378" spans="1:36">
      <c r="A1378" s="1" t="str">
        <f>"Z1D3C8DE22"</f>
        <v>Z1D3C8DE22</v>
      </c>
      <c r="B1378" s="1" t="str">
        <f t="shared" si="27"/>
        <v>02406911202</v>
      </c>
      <c r="C1378" s="1" t="s">
        <v>13</v>
      </c>
      <c r="D1378" s="1" t="s">
        <v>186</v>
      </c>
      <c r="E1378" s="1" t="s">
        <v>1558</v>
      </c>
      <c r="F1378" s="1" t="s">
        <v>158</v>
      </c>
      <c r="G1378" s="1" t="str">
        <f>"01458460217"</f>
        <v>01458460217</v>
      </c>
      <c r="I1378" s="1" t="s">
        <v>1559</v>
      </c>
      <c r="L1378" s="1" t="s">
        <v>43</v>
      </c>
      <c r="M1378" s="1">
        <v>4999</v>
      </c>
      <c r="AG1378" s="1">
        <v>3173</v>
      </c>
      <c r="AH1378" s="2">
        <v>45191</v>
      </c>
      <c r="AI1378" s="2">
        <v>45657</v>
      </c>
      <c r="AJ1378" s="2">
        <v>45191</v>
      </c>
    </row>
    <row r="1379" spans="1:36">
      <c r="A1379" s="1" t="str">
        <f>"Z1D3C92E88"</f>
        <v>Z1D3C92E88</v>
      </c>
      <c r="B1379" s="1" t="str">
        <f t="shared" si="27"/>
        <v>02406911202</v>
      </c>
      <c r="C1379" s="1" t="s">
        <v>13</v>
      </c>
      <c r="D1379" s="1" t="s">
        <v>186</v>
      </c>
      <c r="E1379" s="1" t="s">
        <v>1560</v>
      </c>
      <c r="F1379" s="1" t="s">
        <v>158</v>
      </c>
      <c r="G1379" s="1" t="str">
        <f>"08864080158"</f>
        <v>08864080158</v>
      </c>
      <c r="I1379" s="1" t="s">
        <v>438</v>
      </c>
      <c r="L1379" s="1" t="s">
        <v>43</v>
      </c>
      <c r="M1379" s="1">
        <v>39990</v>
      </c>
      <c r="AG1379" s="1">
        <v>11501.38</v>
      </c>
      <c r="AH1379" s="2">
        <v>45202</v>
      </c>
      <c r="AI1379" s="2">
        <v>45351</v>
      </c>
      <c r="AJ1379" s="2">
        <v>45202</v>
      </c>
    </row>
    <row r="1380" spans="1:36">
      <c r="A1380" s="1" t="str">
        <f>"Z1D3CEF02D"</f>
        <v>Z1D3CEF02D</v>
      </c>
      <c r="B1380" s="1" t="str">
        <f t="shared" si="27"/>
        <v>02406911202</v>
      </c>
      <c r="C1380" s="1" t="s">
        <v>13</v>
      </c>
      <c r="D1380" s="1" t="s">
        <v>180</v>
      </c>
      <c r="E1380" s="1" t="s">
        <v>279</v>
      </c>
      <c r="F1380" s="1" t="s">
        <v>158</v>
      </c>
      <c r="G1380" s="1" t="str">
        <f>"13209130155"</f>
        <v>13209130155</v>
      </c>
      <c r="I1380" s="1" t="s">
        <v>293</v>
      </c>
      <c r="L1380" s="1" t="s">
        <v>43</v>
      </c>
      <c r="M1380" s="1">
        <v>5000</v>
      </c>
      <c r="AG1380" s="1">
        <v>0</v>
      </c>
      <c r="AH1380" s="2">
        <v>45219</v>
      </c>
      <c r="AI1380" s="2">
        <v>45291</v>
      </c>
      <c r="AJ1380" s="2">
        <v>45219</v>
      </c>
    </row>
    <row r="1381" spans="1:36">
      <c r="A1381" s="1" t="str">
        <f>"Z1D3DB23F3"</f>
        <v>Z1D3DB23F3</v>
      </c>
      <c r="B1381" s="1" t="str">
        <f t="shared" si="27"/>
        <v>02406911202</v>
      </c>
      <c r="C1381" s="1" t="s">
        <v>13</v>
      </c>
      <c r="D1381" s="1" t="s">
        <v>167</v>
      </c>
      <c r="E1381" s="1" t="s">
        <v>1561</v>
      </c>
      <c r="F1381" s="1" t="s">
        <v>158</v>
      </c>
      <c r="G1381" s="1" t="str">
        <f>"00326930377"</f>
        <v>00326930377</v>
      </c>
      <c r="I1381" s="1" t="s">
        <v>1493</v>
      </c>
      <c r="L1381" s="1" t="s">
        <v>43</v>
      </c>
      <c r="M1381" s="1">
        <v>540</v>
      </c>
      <c r="AG1381" s="1">
        <v>0</v>
      </c>
      <c r="AH1381" s="2">
        <v>45280</v>
      </c>
      <c r="AI1381" s="2">
        <v>45291</v>
      </c>
      <c r="AJ1381" s="2">
        <v>45280</v>
      </c>
    </row>
    <row r="1382" spans="1:36">
      <c r="A1382" s="1" t="str">
        <f>"Z1D3DC1525"</f>
        <v>Z1D3DC1525</v>
      </c>
      <c r="B1382" s="1" t="str">
        <f t="shared" si="27"/>
        <v>02406911202</v>
      </c>
      <c r="C1382" s="1" t="s">
        <v>13</v>
      </c>
      <c r="D1382" s="1" t="s">
        <v>167</v>
      </c>
      <c r="E1382" s="1" t="s">
        <v>1562</v>
      </c>
      <c r="F1382" s="1" t="s">
        <v>158</v>
      </c>
      <c r="G1382" s="1" t="str">
        <f>"00326930377"</f>
        <v>00326930377</v>
      </c>
      <c r="I1382" s="1" t="s">
        <v>1493</v>
      </c>
      <c r="L1382" s="1" t="s">
        <v>43</v>
      </c>
      <c r="M1382" s="1">
        <v>1980</v>
      </c>
      <c r="AG1382" s="1">
        <v>0</v>
      </c>
      <c r="AH1382" s="2">
        <v>45279</v>
      </c>
      <c r="AI1382" s="2">
        <v>45291</v>
      </c>
      <c r="AJ1382" s="2">
        <v>45279</v>
      </c>
    </row>
    <row r="1383" spans="1:36">
      <c r="A1383" s="1" t="str">
        <f>"Z1E3D63851"</f>
        <v>Z1E3D63851</v>
      </c>
      <c r="B1383" s="1" t="str">
        <f t="shared" si="27"/>
        <v>02406911202</v>
      </c>
      <c r="C1383" s="1" t="s">
        <v>13</v>
      </c>
      <c r="D1383" s="1" t="s">
        <v>186</v>
      </c>
      <c r="E1383" s="1" t="s">
        <v>1563</v>
      </c>
      <c r="F1383" s="1" t="s">
        <v>158</v>
      </c>
      <c r="G1383" s="1" t="str">
        <f>"12933300969"</f>
        <v>12933300969</v>
      </c>
      <c r="I1383" s="1" t="s">
        <v>1251</v>
      </c>
      <c r="L1383" s="1" t="s">
        <v>43</v>
      </c>
      <c r="M1383" s="1">
        <v>4999</v>
      </c>
      <c r="AG1383" s="1">
        <v>0</v>
      </c>
      <c r="AH1383" s="2">
        <v>45252</v>
      </c>
      <c r="AI1383" s="2">
        <v>46022</v>
      </c>
      <c r="AJ1383" s="2">
        <v>45252</v>
      </c>
    </row>
    <row r="1384" spans="1:36">
      <c r="A1384" s="1" t="str">
        <f>"Z1E3D74CCF"</f>
        <v>Z1E3D74CCF</v>
      </c>
      <c r="B1384" s="1" t="str">
        <f t="shared" si="27"/>
        <v>02406911202</v>
      </c>
      <c r="C1384" s="1" t="s">
        <v>13</v>
      </c>
      <c r="D1384" s="1" t="s">
        <v>180</v>
      </c>
      <c r="E1384" s="1" t="s">
        <v>220</v>
      </c>
      <c r="F1384" s="1" t="s">
        <v>158</v>
      </c>
      <c r="G1384" s="1" t="str">
        <f>"00474010345"</f>
        <v>00474010345</v>
      </c>
      <c r="I1384" s="1" t="s">
        <v>1044</v>
      </c>
      <c r="L1384" s="1" t="s">
        <v>43</v>
      </c>
      <c r="M1384" s="1">
        <v>6000</v>
      </c>
      <c r="AG1384" s="1">
        <v>0</v>
      </c>
      <c r="AH1384" s="2">
        <v>45258</v>
      </c>
      <c r="AI1384" s="2">
        <v>45657</v>
      </c>
      <c r="AJ1384" s="2">
        <v>45258</v>
      </c>
    </row>
    <row r="1385" spans="1:36">
      <c r="A1385" s="1" t="str">
        <f>"Z1E3D8296A"</f>
        <v>Z1E3D8296A</v>
      </c>
      <c r="B1385" s="1" t="str">
        <f t="shared" si="27"/>
        <v>02406911202</v>
      </c>
      <c r="C1385" s="1" t="s">
        <v>13</v>
      </c>
      <c r="D1385" s="1" t="s">
        <v>180</v>
      </c>
      <c r="E1385" s="1" t="s">
        <v>185</v>
      </c>
      <c r="F1385" s="1" t="s">
        <v>158</v>
      </c>
      <c r="G1385" s="1" t="str">
        <f>"10616310156"</f>
        <v>10616310156</v>
      </c>
      <c r="I1385" s="1" t="s">
        <v>1474</v>
      </c>
      <c r="L1385" s="1" t="s">
        <v>43</v>
      </c>
      <c r="M1385" s="1">
        <v>5000</v>
      </c>
      <c r="AG1385" s="1">
        <v>0</v>
      </c>
      <c r="AH1385" s="2">
        <v>45259</v>
      </c>
      <c r="AI1385" s="2">
        <v>45291</v>
      </c>
      <c r="AJ1385" s="2">
        <v>45259</v>
      </c>
    </row>
    <row r="1386" spans="1:36">
      <c r="A1386" s="1" t="str">
        <f>"Z1F3DBD10D"</f>
        <v>Z1F3DBD10D</v>
      </c>
      <c r="B1386" s="1" t="str">
        <f t="shared" si="27"/>
        <v>02406911202</v>
      </c>
      <c r="C1386" s="1" t="s">
        <v>13</v>
      </c>
      <c r="D1386" s="1" t="s">
        <v>180</v>
      </c>
      <c r="E1386" s="1" t="s">
        <v>281</v>
      </c>
      <c r="F1386" s="1" t="s">
        <v>158</v>
      </c>
      <c r="G1386" s="1" t="str">
        <f>"12572900152"</f>
        <v>12572900152</v>
      </c>
      <c r="I1386" s="1" t="s">
        <v>335</v>
      </c>
      <c r="L1386" s="1" t="s">
        <v>43</v>
      </c>
      <c r="M1386" s="1">
        <v>6000</v>
      </c>
      <c r="AG1386" s="1">
        <v>0</v>
      </c>
      <c r="AH1386" s="2">
        <v>45288</v>
      </c>
      <c r="AI1386" s="2">
        <v>45657</v>
      </c>
      <c r="AJ1386" s="2">
        <v>45288</v>
      </c>
    </row>
    <row r="1387" spans="1:36">
      <c r="A1387" s="1" t="str">
        <f>"Z203CCD8AB"</f>
        <v>Z203CCD8AB</v>
      </c>
      <c r="B1387" s="1" t="str">
        <f t="shared" si="27"/>
        <v>02406911202</v>
      </c>
      <c r="C1387" s="1" t="s">
        <v>13</v>
      </c>
      <c r="D1387" s="1" t="s">
        <v>180</v>
      </c>
      <c r="E1387" s="1" t="s">
        <v>279</v>
      </c>
      <c r="F1387" s="1" t="s">
        <v>158</v>
      </c>
      <c r="G1387" s="1" t="str">
        <f>"15438541003"</f>
        <v>15438541003</v>
      </c>
      <c r="I1387" s="1" t="s">
        <v>377</v>
      </c>
      <c r="L1387" s="1" t="s">
        <v>43</v>
      </c>
      <c r="M1387" s="1">
        <v>5000</v>
      </c>
      <c r="AG1387" s="1">
        <v>3515</v>
      </c>
      <c r="AH1387" s="2">
        <v>45210</v>
      </c>
      <c r="AI1387" s="2">
        <v>45657</v>
      </c>
      <c r="AJ1387" s="2">
        <v>45210</v>
      </c>
    </row>
    <row r="1388" spans="1:36">
      <c r="A1388" s="1" t="str">
        <f>"Z203D0A741"</f>
        <v>Z203D0A741</v>
      </c>
      <c r="B1388" s="1" t="str">
        <f t="shared" si="27"/>
        <v>02406911202</v>
      </c>
      <c r="C1388" s="1" t="s">
        <v>13</v>
      </c>
      <c r="D1388" s="1" t="s">
        <v>180</v>
      </c>
      <c r="E1388" s="1" t="s">
        <v>279</v>
      </c>
      <c r="F1388" s="1" t="s">
        <v>158</v>
      </c>
      <c r="G1388" s="1" t="str">
        <f>"10926691006"</f>
        <v>10926691006</v>
      </c>
      <c r="I1388" s="1" t="s">
        <v>1564</v>
      </c>
      <c r="L1388" s="1" t="s">
        <v>43</v>
      </c>
      <c r="M1388" s="1">
        <v>6000</v>
      </c>
      <c r="AG1388" s="1">
        <v>0</v>
      </c>
      <c r="AH1388" s="2">
        <v>45226</v>
      </c>
      <c r="AI1388" s="2">
        <v>45291</v>
      </c>
      <c r="AJ1388" s="2">
        <v>45226</v>
      </c>
    </row>
    <row r="1389" spans="1:36">
      <c r="A1389" s="1" t="str">
        <f>"Z203D45968"</f>
        <v>Z203D45968</v>
      </c>
      <c r="B1389" s="1" t="str">
        <f t="shared" si="27"/>
        <v>02406911202</v>
      </c>
      <c r="C1389" s="1" t="s">
        <v>13</v>
      </c>
      <c r="D1389" s="1" t="s">
        <v>177</v>
      </c>
      <c r="E1389" s="1" t="s">
        <v>1565</v>
      </c>
      <c r="F1389" s="1" t="s">
        <v>158</v>
      </c>
      <c r="G1389" s="1" t="str">
        <f>"80096030376"</f>
        <v>80096030376</v>
      </c>
      <c r="I1389" s="1" t="s">
        <v>1566</v>
      </c>
      <c r="L1389" s="1" t="s">
        <v>43</v>
      </c>
      <c r="M1389" s="1">
        <v>1700</v>
      </c>
      <c r="AG1389" s="1">
        <v>0</v>
      </c>
      <c r="AH1389" s="2">
        <v>45139</v>
      </c>
      <c r="AI1389" s="2">
        <v>45291</v>
      </c>
      <c r="AJ1389" s="2">
        <v>45139</v>
      </c>
    </row>
    <row r="1390" spans="1:36">
      <c r="A1390" s="1" t="str">
        <f>"Z213C78FE4"</f>
        <v>Z213C78FE4</v>
      </c>
      <c r="B1390" s="1" t="str">
        <f t="shared" si="27"/>
        <v>02406911202</v>
      </c>
      <c r="C1390" s="1" t="s">
        <v>13</v>
      </c>
      <c r="D1390" s="1" t="s">
        <v>264</v>
      </c>
      <c r="E1390" s="1" t="s">
        <v>1567</v>
      </c>
      <c r="F1390" s="1" t="s">
        <v>158</v>
      </c>
      <c r="G1390" s="1" t="str">
        <f>"11331900966"</f>
        <v>11331900966</v>
      </c>
      <c r="I1390" s="1" t="s">
        <v>1568</v>
      </c>
      <c r="L1390" s="1" t="s">
        <v>43</v>
      </c>
      <c r="M1390" s="1">
        <v>3150</v>
      </c>
      <c r="AG1390" s="1">
        <v>0</v>
      </c>
      <c r="AH1390" s="2">
        <v>45184</v>
      </c>
      <c r="AI1390" s="2">
        <v>45184</v>
      </c>
      <c r="AJ1390" s="2">
        <v>45184</v>
      </c>
    </row>
    <row r="1391" spans="1:36">
      <c r="A1391" s="1" t="str">
        <f>"Z213D8F629"</f>
        <v>Z213D8F629</v>
      </c>
      <c r="B1391" s="1" t="str">
        <f t="shared" si="27"/>
        <v>02406911202</v>
      </c>
      <c r="C1391" s="1" t="s">
        <v>13</v>
      </c>
      <c r="D1391" s="1" t="s">
        <v>177</v>
      </c>
      <c r="E1391" s="1" t="s">
        <v>1569</v>
      </c>
      <c r="F1391" s="1" t="s">
        <v>158</v>
      </c>
      <c r="G1391" s="1" t="str">
        <f>"00672690377"</f>
        <v>00672690377</v>
      </c>
      <c r="I1391" s="1" t="s">
        <v>179</v>
      </c>
      <c r="L1391" s="1" t="s">
        <v>43</v>
      </c>
      <c r="M1391" s="1">
        <v>6500</v>
      </c>
      <c r="AG1391" s="1">
        <v>0</v>
      </c>
      <c r="AH1391" s="2">
        <v>45261</v>
      </c>
      <c r="AI1391" s="2">
        <v>45291</v>
      </c>
      <c r="AJ1391" s="2">
        <v>45261</v>
      </c>
    </row>
    <row r="1392" spans="1:36">
      <c r="A1392" s="1" t="str">
        <f>"Z213DA290C"</f>
        <v>Z213DA290C</v>
      </c>
      <c r="B1392" s="1" t="str">
        <f t="shared" si="27"/>
        <v>02406911202</v>
      </c>
      <c r="C1392" s="1" t="s">
        <v>13</v>
      </c>
      <c r="D1392" s="1" t="s">
        <v>264</v>
      </c>
      <c r="E1392" s="1" t="s">
        <v>1570</v>
      </c>
      <c r="F1392" s="1" t="s">
        <v>158</v>
      </c>
      <c r="G1392" s="1" t="str">
        <f>"06111530637"</f>
        <v>06111530637</v>
      </c>
      <c r="I1392" s="1" t="s">
        <v>1073</v>
      </c>
      <c r="L1392" s="1" t="s">
        <v>43</v>
      </c>
      <c r="M1392" s="1">
        <v>447</v>
      </c>
      <c r="AG1392" s="1">
        <v>0</v>
      </c>
      <c r="AH1392" s="2">
        <v>45266</v>
      </c>
      <c r="AI1392" s="2">
        <v>45273</v>
      </c>
      <c r="AJ1392" s="2">
        <v>45266</v>
      </c>
    </row>
    <row r="1393" spans="1:36">
      <c r="A1393" s="1" t="str">
        <f>"Z223C9B72F"</f>
        <v>Z223C9B72F</v>
      </c>
      <c r="B1393" s="1" t="str">
        <f t="shared" si="27"/>
        <v>02406911202</v>
      </c>
      <c r="C1393" s="1" t="s">
        <v>13</v>
      </c>
      <c r="D1393" s="1" t="s">
        <v>180</v>
      </c>
      <c r="E1393" s="1" t="s">
        <v>279</v>
      </c>
      <c r="F1393" s="1" t="s">
        <v>158</v>
      </c>
      <c r="G1393" s="1" t="str">
        <f>"09075041005"</f>
        <v>09075041005</v>
      </c>
      <c r="I1393" s="1" t="s">
        <v>1230</v>
      </c>
      <c r="L1393" s="1" t="s">
        <v>43</v>
      </c>
      <c r="M1393" s="1">
        <v>5000</v>
      </c>
      <c r="AG1393" s="1">
        <v>0</v>
      </c>
      <c r="AH1393" s="2">
        <v>45196</v>
      </c>
      <c r="AI1393" s="2">
        <v>45657</v>
      </c>
      <c r="AJ1393" s="2">
        <v>45196</v>
      </c>
    </row>
    <row r="1394" spans="1:36">
      <c r="A1394" s="1" t="str">
        <f>"Z223CA7D3D"</f>
        <v>Z223CA7D3D</v>
      </c>
      <c r="B1394" s="1" t="str">
        <f t="shared" si="27"/>
        <v>02406911202</v>
      </c>
      <c r="C1394" s="1" t="s">
        <v>13</v>
      </c>
      <c r="D1394" s="1" t="s">
        <v>167</v>
      </c>
      <c r="E1394" s="1" t="s">
        <v>1302</v>
      </c>
      <c r="F1394" s="1" t="s">
        <v>151</v>
      </c>
      <c r="G1394" s="1" t="str">
        <f>"03531000820"</f>
        <v>03531000820</v>
      </c>
      <c r="I1394" s="1" t="s">
        <v>1571</v>
      </c>
      <c r="L1394" s="1" t="s">
        <v>43</v>
      </c>
      <c r="M1394" s="1">
        <v>10252.1</v>
      </c>
      <c r="AG1394" s="1">
        <v>577.4</v>
      </c>
      <c r="AH1394" s="2">
        <v>45200</v>
      </c>
      <c r="AI1394" s="2">
        <v>45382</v>
      </c>
      <c r="AJ1394" s="2">
        <v>45200</v>
      </c>
    </row>
    <row r="1395" spans="1:36">
      <c r="A1395" s="1" t="str">
        <f>"Z223CB8306"</f>
        <v>Z223CB8306</v>
      </c>
      <c r="B1395" s="1" t="str">
        <f t="shared" si="27"/>
        <v>02406911202</v>
      </c>
      <c r="C1395" s="1" t="s">
        <v>13</v>
      </c>
      <c r="D1395" s="1" t="s">
        <v>180</v>
      </c>
      <c r="E1395" s="1" t="s">
        <v>281</v>
      </c>
      <c r="F1395" s="1" t="s">
        <v>158</v>
      </c>
      <c r="G1395" s="1" t="str">
        <f>"12572900152"</f>
        <v>12572900152</v>
      </c>
      <c r="I1395" s="1" t="s">
        <v>335</v>
      </c>
      <c r="L1395" s="1" t="s">
        <v>43</v>
      </c>
      <c r="M1395" s="1">
        <v>6000</v>
      </c>
      <c r="AG1395" s="1">
        <v>4302.54</v>
      </c>
      <c r="AH1395" s="2">
        <v>45204</v>
      </c>
      <c r="AI1395" s="2">
        <v>45291</v>
      </c>
      <c r="AJ1395" s="2">
        <v>45204</v>
      </c>
    </row>
    <row r="1396" spans="1:36">
      <c r="A1396" s="1" t="str">
        <f>"Z223CE5C7E"</f>
        <v>Z223CE5C7E</v>
      </c>
      <c r="B1396" s="1" t="str">
        <f t="shared" si="27"/>
        <v>02406911202</v>
      </c>
      <c r="C1396" s="1" t="s">
        <v>13</v>
      </c>
      <c r="D1396" s="1" t="s">
        <v>180</v>
      </c>
      <c r="E1396" s="1" t="s">
        <v>281</v>
      </c>
      <c r="F1396" s="1" t="s">
        <v>158</v>
      </c>
      <c r="G1396" s="1" t="str">
        <f>"09270550016"</f>
        <v>09270550016</v>
      </c>
      <c r="I1396" s="1" t="s">
        <v>406</v>
      </c>
      <c r="L1396" s="1" t="s">
        <v>43</v>
      </c>
      <c r="M1396" s="1">
        <v>6000</v>
      </c>
      <c r="AG1396" s="1">
        <v>6981</v>
      </c>
      <c r="AH1396" s="2">
        <v>45217</v>
      </c>
      <c r="AI1396" s="2">
        <v>45291</v>
      </c>
      <c r="AJ1396" s="2">
        <v>45217</v>
      </c>
    </row>
    <row r="1397" spans="1:36">
      <c r="A1397" s="1" t="str">
        <f>"Z223D339B0"</f>
        <v>Z223D339B0</v>
      </c>
      <c r="B1397" s="1" t="str">
        <f t="shared" si="27"/>
        <v>02406911202</v>
      </c>
      <c r="C1397" s="1" t="s">
        <v>13</v>
      </c>
      <c r="D1397" s="1" t="s">
        <v>186</v>
      </c>
      <c r="E1397" s="1" t="s">
        <v>1572</v>
      </c>
      <c r="F1397" s="1" t="s">
        <v>158</v>
      </c>
      <c r="G1397" s="1" t="str">
        <f>"08864080158"</f>
        <v>08864080158</v>
      </c>
      <c r="I1397" s="1" t="s">
        <v>438</v>
      </c>
      <c r="L1397" s="1" t="s">
        <v>43</v>
      </c>
      <c r="M1397" s="1">
        <v>39999</v>
      </c>
      <c r="AG1397" s="1">
        <v>0</v>
      </c>
      <c r="AH1397" s="2">
        <v>45250</v>
      </c>
      <c r="AI1397" s="2">
        <v>45382</v>
      </c>
      <c r="AJ1397" s="2">
        <v>45250</v>
      </c>
    </row>
    <row r="1398" spans="1:36">
      <c r="A1398" s="1" t="str">
        <f t="shared" ref="A1398:A1404" si="28">"Z223D6772A"</f>
        <v>Z223D6772A</v>
      </c>
      <c r="B1398" s="1" t="str">
        <f t="shared" si="27"/>
        <v>02406911202</v>
      </c>
      <c r="C1398" s="1" t="s">
        <v>13</v>
      </c>
      <c r="D1398" s="1" t="s">
        <v>164</v>
      </c>
      <c r="E1398" s="1" t="s">
        <v>1573</v>
      </c>
      <c r="F1398" s="1" t="s">
        <v>39</v>
      </c>
      <c r="G1398" s="1" t="str">
        <f>"00740430335"</f>
        <v>00740430335</v>
      </c>
      <c r="I1398" s="1" t="s">
        <v>1514</v>
      </c>
      <c r="L1398" s="1" t="s">
        <v>43</v>
      </c>
      <c r="M1398" s="1">
        <v>16612</v>
      </c>
      <c r="AG1398" s="1">
        <v>0</v>
      </c>
      <c r="AH1398" s="2">
        <v>45252</v>
      </c>
      <c r="AI1398" s="2">
        <v>45291</v>
      </c>
      <c r="AJ1398" s="2">
        <v>45252</v>
      </c>
    </row>
    <row r="1399" spans="1:36">
      <c r="A1399" s="1" t="str">
        <f t="shared" si="28"/>
        <v>Z223D6772A</v>
      </c>
      <c r="B1399" s="1" t="str">
        <f t="shared" si="27"/>
        <v>02406911202</v>
      </c>
      <c r="C1399" s="1" t="s">
        <v>13</v>
      </c>
      <c r="D1399" s="1" t="s">
        <v>164</v>
      </c>
      <c r="E1399" s="1" t="s">
        <v>1573</v>
      </c>
      <c r="F1399" s="1" t="s">
        <v>39</v>
      </c>
      <c r="G1399" s="1" t="str">
        <f>"03359340837"</f>
        <v>03359340837</v>
      </c>
      <c r="I1399" s="1" t="s">
        <v>759</v>
      </c>
      <c r="L1399" s="1" t="s">
        <v>100</v>
      </c>
      <c r="AJ1399" s="2">
        <v>45252</v>
      </c>
    </row>
    <row r="1400" spans="1:36">
      <c r="A1400" s="1" t="str">
        <f t="shared" si="28"/>
        <v>Z223D6772A</v>
      </c>
      <c r="B1400" s="1" t="str">
        <f t="shared" si="27"/>
        <v>02406911202</v>
      </c>
      <c r="C1400" s="1" t="s">
        <v>13</v>
      </c>
      <c r="D1400" s="1" t="s">
        <v>164</v>
      </c>
      <c r="E1400" s="1" t="s">
        <v>1573</v>
      </c>
      <c r="F1400" s="1" t="s">
        <v>39</v>
      </c>
      <c r="G1400" s="1" t="str">
        <f>"03471940373"</f>
        <v>03471940373</v>
      </c>
      <c r="I1400" s="1" t="s">
        <v>1574</v>
      </c>
      <c r="L1400" s="1" t="s">
        <v>100</v>
      </c>
      <c r="AJ1400" s="2">
        <v>45252</v>
      </c>
    </row>
    <row r="1401" spans="1:36">
      <c r="A1401" s="1" t="str">
        <f t="shared" si="28"/>
        <v>Z223D6772A</v>
      </c>
      <c r="B1401" s="1" t="str">
        <f t="shared" si="27"/>
        <v>02406911202</v>
      </c>
      <c r="C1401" s="1" t="s">
        <v>13</v>
      </c>
      <c r="D1401" s="1" t="s">
        <v>164</v>
      </c>
      <c r="E1401" s="1" t="s">
        <v>1573</v>
      </c>
      <c r="F1401" s="1" t="s">
        <v>39</v>
      </c>
      <c r="G1401" s="1" t="str">
        <f>"04427081007"</f>
        <v>04427081007</v>
      </c>
      <c r="I1401" s="1" t="s">
        <v>1575</v>
      </c>
      <c r="L1401" s="1" t="s">
        <v>100</v>
      </c>
      <c r="AJ1401" s="2">
        <v>45252</v>
      </c>
    </row>
    <row r="1402" spans="1:36">
      <c r="A1402" s="1" t="str">
        <f t="shared" si="28"/>
        <v>Z223D6772A</v>
      </c>
      <c r="B1402" s="1" t="str">
        <f t="shared" si="27"/>
        <v>02406911202</v>
      </c>
      <c r="C1402" s="1" t="s">
        <v>13</v>
      </c>
      <c r="D1402" s="1" t="s">
        <v>164</v>
      </c>
      <c r="E1402" s="1" t="s">
        <v>1573</v>
      </c>
      <c r="F1402" s="1" t="s">
        <v>39</v>
      </c>
      <c r="G1402" s="1" t="str">
        <f>"04606020875"</f>
        <v>04606020875</v>
      </c>
      <c r="I1402" s="1" t="s">
        <v>470</v>
      </c>
      <c r="L1402" s="1" t="s">
        <v>100</v>
      </c>
      <c r="AJ1402" s="2">
        <v>45252</v>
      </c>
    </row>
    <row r="1403" spans="1:36">
      <c r="A1403" s="1" t="str">
        <f t="shared" si="28"/>
        <v>Z223D6772A</v>
      </c>
      <c r="B1403" s="1" t="str">
        <f t="shared" si="27"/>
        <v>02406911202</v>
      </c>
      <c r="C1403" s="1" t="s">
        <v>13</v>
      </c>
      <c r="D1403" s="1" t="s">
        <v>164</v>
      </c>
      <c r="E1403" s="1" t="s">
        <v>1573</v>
      </c>
      <c r="F1403" s="1" t="s">
        <v>39</v>
      </c>
      <c r="G1403" s="1" t="str">
        <f>"02491851206"</f>
        <v>02491851206</v>
      </c>
      <c r="I1403" s="1" t="s">
        <v>639</v>
      </c>
      <c r="L1403" s="1" t="s">
        <v>100</v>
      </c>
      <c r="AJ1403" s="2">
        <v>45252</v>
      </c>
    </row>
    <row r="1404" spans="1:36">
      <c r="A1404" s="1" t="str">
        <f t="shared" si="28"/>
        <v>Z223D6772A</v>
      </c>
      <c r="B1404" s="1" t="str">
        <f t="shared" si="27"/>
        <v>02406911202</v>
      </c>
      <c r="C1404" s="1" t="s">
        <v>13</v>
      </c>
      <c r="D1404" s="1" t="s">
        <v>164</v>
      </c>
      <c r="E1404" s="1" t="s">
        <v>1573</v>
      </c>
      <c r="F1404" s="1" t="s">
        <v>39</v>
      </c>
      <c r="G1404" s="1" t="str">
        <f>"PNRGNN63P67B111F"</f>
        <v>PNRGNN63P67B111F</v>
      </c>
      <c r="I1404" s="1" t="s">
        <v>758</v>
      </c>
      <c r="L1404" s="1" t="s">
        <v>100</v>
      </c>
      <c r="AJ1404" s="2">
        <v>45252</v>
      </c>
    </row>
    <row r="1405" spans="1:36">
      <c r="A1405" s="1" t="str">
        <f>"Z223D8E6BE"</f>
        <v>Z223D8E6BE</v>
      </c>
      <c r="B1405" s="1" t="str">
        <f t="shared" si="27"/>
        <v>02406911202</v>
      </c>
      <c r="C1405" s="1" t="s">
        <v>13</v>
      </c>
      <c r="D1405" s="1" t="s">
        <v>180</v>
      </c>
      <c r="E1405" s="1" t="s">
        <v>185</v>
      </c>
      <c r="F1405" s="1" t="s">
        <v>158</v>
      </c>
      <c r="G1405" s="1" t="str">
        <f>"00803890151"</f>
        <v>00803890151</v>
      </c>
      <c r="I1405" s="1" t="s">
        <v>104</v>
      </c>
      <c r="L1405" s="1" t="s">
        <v>43</v>
      </c>
      <c r="M1405" s="1">
        <v>6000</v>
      </c>
      <c r="AG1405" s="1">
        <v>0</v>
      </c>
      <c r="AH1405" s="2">
        <v>45261</v>
      </c>
      <c r="AI1405" s="2">
        <v>45657</v>
      </c>
      <c r="AJ1405" s="2">
        <v>45261</v>
      </c>
    </row>
    <row r="1406" spans="1:36">
      <c r="A1406" s="1" t="str">
        <f>"Z233CB1967"</f>
        <v>Z233CB1967</v>
      </c>
      <c r="B1406" s="1" t="str">
        <f t="shared" si="27"/>
        <v>02406911202</v>
      </c>
      <c r="C1406" s="1" t="s">
        <v>13</v>
      </c>
      <c r="D1406" s="1" t="s">
        <v>167</v>
      </c>
      <c r="E1406" s="1" t="s">
        <v>1576</v>
      </c>
      <c r="F1406" s="1" t="s">
        <v>151</v>
      </c>
      <c r="G1406" s="1" t="str">
        <f>"02457060032"</f>
        <v>02457060032</v>
      </c>
      <c r="I1406" s="1" t="s">
        <v>320</v>
      </c>
      <c r="L1406" s="1" t="s">
        <v>43</v>
      </c>
      <c r="M1406" s="1">
        <v>12</v>
      </c>
      <c r="AG1406" s="1">
        <v>0</v>
      </c>
      <c r="AH1406" s="2">
        <v>45215</v>
      </c>
      <c r="AI1406" s="2">
        <v>45945</v>
      </c>
      <c r="AJ1406" s="2">
        <v>45215</v>
      </c>
    </row>
    <row r="1407" spans="1:36">
      <c r="A1407" s="1" t="str">
        <f>"Z233D48656"</f>
        <v>Z233D48656</v>
      </c>
      <c r="B1407" s="1" t="str">
        <f t="shared" si="27"/>
        <v>02406911202</v>
      </c>
      <c r="C1407" s="1" t="s">
        <v>13</v>
      </c>
      <c r="D1407" s="1" t="s">
        <v>180</v>
      </c>
      <c r="E1407" s="1" t="s">
        <v>181</v>
      </c>
      <c r="F1407" s="1" t="s">
        <v>158</v>
      </c>
      <c r="G1407" s="1" t="str">
        <f>"00674840152"</f>
        <v>00674840152</v>
      </c>
      <c r="I1407" s="1" t="s">
        <v>87</v>
      </c>
      <c r="L1407" s="1" t="s">
        <v>43</v>
      </c>
      <c r="M1407" s="1">
        <v>6000</v>
      </c>
      <c r="AG1407" s="1">
        <v>0</v>
      </c>
      <c r="AH1407" s="2">
        <v>45243</v>
      </c>
      <c r="AI1407" s="2">
        <v>45291</v>
      </c>
      <c r="AJ1407" s="2">
        <v>45243</v>
      </c>
    </row>
    <row r="1408" spans="1:36">
      <c r="A1408" s="1" t="str">
        <f>"Z233DD3414"</f>
        <v>Z233DD3414</v>
      </c>
      <c r="B1408" s="1" t="str">
        <f t="shared" si="27"/>
        <v>02406911202</v>
      </c>
      <c r="C1408" s="1" t="s">
        <v>13</v>
      </c>
      <c r="D1408" s="1" t="s">
        <v>180</v>
      </c>
      <c r="E1408" s="1" t="s">
        <v>1577</v>
      </c>
      <c r="F1408" s="1" t="s">
        <v>158</v>
      </c>
      <c r="G1408" s="1" t="str">
        <f>"10926940965"</f>
        <v>10926940965</v>
      </c>
      <c r="I1408" s="1" t="s">
        <v>1578</v>
      </c>
      <c r="L1408" s="1" t="s">
        <v>43</v>
      </c>
      <c r="M1408" s="1">
        <v>5000</v>
      </c>
      <c r="AG1408" s="1">
        <v>0</v>
      </c>
      <c r="AH1408" s="2">
        <v>45278</v>
      </c>
      <c r="AI1408" s="2">
        <v>45291</v>
      </c>
      <c r="AJ1408" s="2">
        <v>45278</v>
      </c>
    </row>
    <row r="1409" spans="1:36">
      <c r="A1409" s="1" t="str">
        <f>"Z243D7A0C9"</f>
        <v>Z243D7A0C9</v>
      </c>
      <c r="B1409" s="1" t="str">
        <f t="shared" si="27"/>
        <v>02406911202</v>
      </c>
      <c r="C1409" s="1" t="s">
        <v>13</v>
      </c>
      <c r="D1409" s="1" t="s">
        <v>180</v>
      </c>
      <c r="E1409" s="1" t="s">
        <v>281</v>
      </c>
      <c r="F1409" s="1" t="s">
        <v>158</v>
      </c>
      <c r="G1409" s="1" t="str">
        <f>"08864080158"</f>
        <v>08864080158</v>
      </c>
      <c r="I1409" s="1" t="s">
        <v>438</v>
      </c>
      <c r="L1409" s="1" t="s">
        <v>43</v>
      </c>
      <c r="M1409" s="1">
        <v>6000</v>
      </c>
      <c r="AG1409" s="1">
        <v>0</v>
      </c>
      <c r="AH1409" s="2">
        <v>45258</v>
      </c>
      <c r="AI1409" s="2">
        <v>45657</v>
      </c>
      <c r="AJ1409" s="2">
        <v>45258</v>
      </c>
    </row>
    <row r="1410" spans="1:36">
      <c r="A1410" s="1" t="str">
        <f>"Z243DE229A"</f>
        <v>Z243DE229A</v>
      </c>
      <c r="B1410" s="1" t="str">
        <f t="shared" ref="B1410:B1473" si="29">"02406911202"</f>
        <v>02406911202</v>
      </c>
      <c r="C1410" s="1" t="s">
        <v>13</v>
      </c>
      <c r="D1410" s="1" t="s">
        <v>264</v>
      </c>
      <c r="E1410" s="1" t="s">
        <v>1579</v>
      </c>
      <c r="F1410" s="1" t="s">
        <v>158</v>
      </c>
      <c r="G1410" s="1" t="str">
        <f>"07869740584"</f>
        <v>07869740584</v>
      </c>
      <c r="I1410" s="1" t="s">
        <v>1314</v>
      </c>
      <c r="L1410" s="1" t="s">
        <v>43</v>
      </c>
      <c r="M1410" s="1">
        <v>100</v>
      </c>
      <c r="AG1410" s="1">
        <v>0</v>
      </c>
      <c r="AH1410" s="2">
        <v>45280</v>
      </c>
      <c r="AI1410" s="2">
        <v>45291</v>
      </c>
      <c r="AJ1410" s="2">
        <v>45280</v>
      </c>
    </row>
    <row r="1411" spans="1:36">
      <c r="A1411" s="1" t="str">
        <f>"Z253D166D0"</f>
        <v>Z253D166D0</v>
      </c>
      <c r="B1411" s="1" t="str">
        <f t="shared" si="29"/>
        <v>02406911202</v>
      </c>
      <c r="C1411" s="1" t="s">
        <v>13</v>
      </c>
      <c r="D1411" s="1" t="s">
        <v>180</v>
      </c>
      <c r="E1411" s="1" t="s">
        <v>292</v>
      </c>
      <c r="F1411" s="1" t="s">
        <v>158</v>
      </c>
      <c r="G1411" s="1" t="str">
        <f>"08690281004"</f>
        <v>08690281004</v>
      </c>
      <c r="I1411" s="1" t="s">
        <v>1580</v>
      </c>
      <c r="L1411" s="1" t="s">
        <v>43</v>
      </c>
      <c r="M1411" s="1">
        <v>5000</v>
      </c>
      <c r="AG1411" s="1">
        <v>0</v>
      </c>
      <c r="AH1411" s="2">
        <v>45230</v>
      </c>
      <c r="AI1411" s="2">
        <v>45291</v>
      </c>
      <c r="AJ1411" s="2">
        <v>45230</v>
      </c>
    </row>
    <row r="1412" spans="1:36">
      <c r="A1412" s="1" t="str">
        <f>"Z263D7BCC7"</f>
        <v>Z263D7BCC7</v>
      </c>
      <c r="B1412" s="1" t="str">
        <f t="shared" si="29"/>
        <v>02406911202</v>
      </c>
      <c r="C1412" s="1" t="s">
        <v>13</v>
      </c>
      <c r="D1412" s="1" t="s">
        <v>180</v>
      </c>
      <c r="E1412" s="1" t="s">
        <v>181</v>
      </c>
      <c r="F1412" s="1" t="s">
        <v>158</v>
      </c>
      <c r="G1412" s="1" t="str">
        <f>"11654150157"</f>
        <v>11654150157</v>
      </c>
      <c r="I1412" s="1" t="s">
        <v>263</v>
      </c>
      <c r="L1412" s="1" t="s">
        <v>43</v>
      </c>
      <c r="M1412" s="1">
        <v>5000</v>
      </c>
      <c r="AG1412" s="1">
        <v>0</v>
      </c>
      <c r="AH1412" s="2">
        <v>45258</v>
      </c>
      <c r="AI1412" s="2">
        <v>45291</v>
      </c>
      <c r="AJ1412" s="2">
        <v>45258</v>
      </c>
    </row>
    <row r="1413" spans="1:36">
      <c r="A1413" s="1" t="str">
        <f>"Z263DE796C"</f>
        <v>Z263DE796C</v>
      </c>
      <c r="B1413" s="1" t="str">
        <f t="shared" si="29"/>
        <v>02406911202</v>
      </c>
      <c r="C1413" s="1" t="s">
        <v>13</v>
      </c>
      <c r="D1413" s="1" t="s">
        <v>177</v>
      </c>
      <c r="E1413" s="1" t="s">
        <v>1581</v>
      </c>
      <c r="F1413" s="1" t="s">
        <v>39</v>
      </c>
      <c r="G1413" s="1" t="str">
        <f>"03790750404"</f>
        <v>03790750404</v>
      </c>
      <c r="I1413" s="1" t="s">
        <v>1582</v>
      </c>
      <c r="L1413" s="1" t="s">
        <v>43</v>
      </c>
      <c r="M1413" s="1">
        <v>70000</v>
      </c>
      <c r="AG1413" s="1">
        <v>0</v>
      </c>
      <c r="AH1413" s="2">
        <v>45215</v>
      </c>
      <c r="AI1413" s="2">
        <v>46387</v>
      </c>
      <c r="AJ1413" s="2">
        <v>45215</v>
      </c>
    </row>
    <row r="1414" spans="1:36">
      <c r="A1414" s="1" t="str">
        <f>"Z273CC7C6E"</f>
        <v>Z273CC7C6E</v>
      </c>
      <c r="B1414" s="1" t="str">
        <f t="shared" si="29"/>
        <v>02406911202</v>
      </c>
      <c r="C1414" s="1" t="s">
        <v>13</v>
      </c>
      <c r="D1414" s="1" t="s">
        <v>180</v>
      </c>
      <c r="E1414" s="1" t="s">
        <v>281</v>
      </c>
      <c r="F1414" s="1" t="s">
        <v>158</v>
      </c>
      <c r="G1414" s="1" t="str">
        <f>"15685941005"</f>
        <v>15685941005</v>
      </c>
      <c r="I1414" s="1" t="s">
        <v>1495</v>
      </c>
      <c r="L1414" s="1" t="s">
        <v>43</v>
      </c>
      <c r="M1414" s="1">
        <v>6000</v>
      </c>
      <c r="AG1414" s="1">
        <v>6926.84</v>
      </c>
      <c r="AH1414" s="2">
        <v>45209</v>
      </c>
      <c r="AI1414" s="2">
        <v>45291</v>
      </c>
      <c r="AJ1414" s="2">
        <v>45209</v>
      </c>
    </row>
    <row r="1415" spans="1:36">
      <c r="A1415" s="1" t="str">
        <f>"Z273CE369F"</f>
        <v>Z273CE369F</v>
      </c>
      <c r="B1415" s="1" t="str">
        <f t="shared" si="29"/>
        <v>02406911202</v>
      </c>
      <c r="C1415" s="1" t="s">
        <v>13</v>
      </c>
      <c r="D1415" s="1" t="s">
        <v>180</v>
      </c>
      <c r="E1415" s="1" t="s">
        <v>181</v>
      </c>
      <c r="F1415" s="1" t="s">
        <v>158</v>
      </c>
      <c r="G1415" s="1" t="str">
        <f>"13206920152"</f>
        <v>13206920152</v>
      </c>
      <c r="I1415" s="1" t="s">
        <v>1583</v>
      </c>
      <c r="L1415" s="1" t="s">
        <v>43</v>
      </c>
      <c r="M1415" s="1">
        <v>5000</v>
      </c>
      <c r="AG1415" s="1">
        <v>858.9</v>
      </c>
      <c r="AH1415" s="2">
        <v>45216</v>
      </c>
      <c r="AI1415" s="2">
        <v>45291</v>
      </c>
      <c r="AJ1415" s="2">
        <v>45216</v>
      </c>
    </row>
    <row r="1416" spans="1:36">
      <c r="A1416" s="1" t="str">
        <f>"Z273CF4D13"</f>
        <v>Z273CF4D13</v>
      </c>
      <c r="B1416" s="1" t="str">
        <f t="shared" si="29"/>
        <v>02406911202</v>
      </c>
      <c r="C1416" s="1" t="s">
        <v>13</v>
      </c>
      <c r="D1416" s="1" t="s">
        <v>180</v>
      </c>
      <c r="E1416" s="1" t="s">
        <v>220</v>
      </c>
      <c r="F1416" s="1" t="s">
        <v>158</v>
      </c>
      <c r="G1416" s="1" t="str">
        <f>"03524050238"</f>
        <v>03524050238</v>
      </c>
      <c r="I1416" s="1" t="s">
        <v>171</v>
      </c>
      <c r="L1416" s="1" t="s">
        <v>43</v>
      </c>
      <c r="M1416" s="1">
        <v>5000</v>
      </c>
      <c r="AG1416" s="1">
        <v>0</v>
      </c>
      <c r="AH1416" s="2">
        <v>45233</v>
      </c>
      <c r="AI1416" s="2">
        <v>45657</v>
      </c>
      <c r="AJ1416" s="2">
        <v>45233</v>
      </c>
    </row>
    <row r="1417" spans="1:36">
      <c r="A1417" s="1" t="str">
        <f>"Z283CC9922"</f>
        <v>Z283CC9922</v>
      </c>
      <c r="B1417" s="1" t="str">
        <f t="shared" si="29"/>
        <v>02406911202</v>
      </c>
      <c r="C1417" s="1" t="s">
        <v>13</v>
      </c>
      <c r="D1417" s="1" t="s">
        <v>264</v>
      </c>
      <c r="E1417" s="1" t="s">
        <v>1584</v>
      </c>
      <c r="F1417" s="1" t="s">
        <v>158</v>
      </c>
      <c r="G1417" s="1" t="str">
        <f>"00801720152"</f>
        <v>00801720152</v>
      </c>
      <c r="I1417" s="1" t="s">
        <v>1585</v>
      </c>
      <c r="L1417" s="1" t="s">
        <v>43</v>
      </c>
      <c r="M1417" s="1">
        <v>10000</v>
      </c>
      <c r="AG1417" s="1">
        <v>0</v>
      </c>
      <c r="AH1417" s="2">
        <v>45209</v>
      </c>
      <c r="AI1417" s="2">
        <v>45291</v>
      </c>
      <c r="AJ1417" s="2">
        <v>45209</v>
      </c>
    </row>
    <row r="1418" spans="1:36">
      <c r="A1418" s="1" t="str">
        <f>"Z283D486B4"</f>
        <v>Z283D486B4</v>
      </c>
      <c r="B1418" s="1" t="str">
        <f t="shared" si="29"/>
        <v>02406911202</v>
      </c>
      <c r="C1418" s="1" t="s">
        <v>13</v>
      </c>
      <c r="D1418" s="1" t="s">
        <v>180</v>
      </c>
      <c r="E1418" s="1" t="s">
        <v>181</v>
      </c>
      <c r="F1418" s="1" t="s">
        <v>158</v>
      </c>
      <c r="G1418" s="1" t="str">
        <f>"00674840152"</f>
        <v>00674840152</v>
      </c>
      <c r="I1418" s="1" t="s">
        <v>87</v>
      </c>
      <c r="L1418" s="1" t="s">
        <v>43</v>
      </c>
      <c r="M1418" s="1">
        <v>5000</v>
      </c>
      <c r="AG1418" s="1">
        <v>0</v>
      </c>
      <c r="AH1418" s="2">
        <v>45243</v>
      </c>
      <c r="AI1418" s="2">
        <v>45291</v>
      </c>
      <c r="AJ1418" s="2">
        <v>45243</v>
      </c>
    </row>
    <row r="1419" spans="1:36">
      <c r="A1419" s="1" t="str">
        <f>"Z283D6266C"</f>
        <v>Z283D6266C</v>
      </c>
      <c r="B1419" s="1" t="str">
        <f t="shared" si="29"/>
        <v>02406911202</v>
      </c>
      <c r="C1419" s="1" t="s">
        <v>13</v>
      </c>
      <c r="D1419" s="1" t="s">
        <v>186</v>
      </c>
      <c r="E1419" s="1" t="s">
        <v>1586</v>
      </c>
      <c r="F1419" s="1" t="s">
        <v>158</v>
      </c>
      <c r="G1419" s="1" t="str">
        <f>"06653670486"</f>
        <v>06653670486</v>
      </c>
      <c r="I1419" s="1" t="s">
        <v>1587</v>
      </c>
      <c r="L1419" s="1" t="s">
        <v>43</v>
      </c>
      <c r="M1419" s="1">
        <v>4999</v>
      </c>
      <c r="AG1419" s="1">
        <v>0</v>
      </c>
      <c r="AH1419" s="2">
        <v>45251</v>
      </c>
      <c r="AI1419" s="2">
        <v>45322</v>
      </c>
      <c r="AJ1419" s="2">
        <v>45251</v>
      </c>
    </row>
    <row r="1420" spans="1:36">
      <c r="A1420" s="1" t="str">
        <f>"Z283D7B383"</f>
        <v>Z283D7B383</v>
      </c>
      <c r="B1420" s="1" t="str">
        <f t="shared" si="29"/>
        <v>02406911202</v>
      </c>
      <c r="C1420" s="1" t="s">
        <v>13</v>
      </c>
      <c r="D1420" s="1" t="s">
        <v>180</v>
      </c>
      <c r="E1420" s="1" t="s">
        <v>296</v>
      </c>
      <c r="F1420" s="1" t="s">
        <v>158</v>
      </c>
      <c r="G1420" s="1" t="str">
        <f>"01309350062"</f>
        <v>01309350062</v>
      </c>
      <c r="I1420" s="1" t="s">
        <v>498</v>
      </c>
      <c r="L1420" s="1" t="s">
        <v>43</v>
      </c>
      <c r="M1420" s="1">
        <v>5000</v>
      </c>
      <c r="AG1420" s="1">
        <v>0</v>
      </c>
      <c r="AH1420" s="2">
        <v>45259</v>
      </c>
      <c r="AI1420" s="2">
        <v>45291</v>
      </c>
      <c r="AJ1420" s="2">
        <v>45259</v>
      </c>
    </row>
    <row r="1421" spans="1:36">
      <c r="A1421" s="1" t="str">
        <f>"Z283D7B383"</f>
        <v>Z283D7B383</v>
      </c>
      <c r="B1421" s="1" t="str">
        <f t="shared" si="29"/>
        <v>02406911202</v>
      </c>
      <c r="C1421" s="1" t="s">
        <v>13</v>
      </c>
      <c r="D1421" s="1" t="s">
        <v>180</v>
      </c>
      <c r="E1421" s="1" t="s">
        <v>296</v>
      </c>
      <c r="F1421" s="1" t="s">
        <v>158</v>
      </c>
      <c r="G1421" s="1" t="str">
        <f>"04046470375"</f>
        <v>04046470375</v>
      </c>
      <c r="I1421" s="1" t="s">
        <v>1588</v>
      </c>
      <c r="L1421" s="1" t="s">
        <v>43</v>
      </c>
      <c r="M1421" s="1">
        <v>5000</v>
      </c>
      <c r="AG1421" s="1">
        <v>0</v>
      </c>
      <c r="AH1421" s="2">
        <v>45259</v>
      </c>
      <c r="AI1421" s="2">
        <v>45291</v>
      </c>
      <c r="AJ1421" s="2">
        <v>45259</v>
      </c>
    </row>
    <row r="1422" spans="1:36">
      <c r="A1422" s="1" t="str">
        <f>"Z293C4A10C"</f>
        <v>Z293C4A10C</v>
      </c>
      <c r="B1422" s="1" t="str">
        <f t="shared" si="29"/>
        <v>02406911202</v>
      </c>
      <c r="C1422" s="1" t="s">
        <v>13</v>
      </c>
      <c r="D1422" s="1" t="s">
        <v>180</v>
      </c>
      <c r="E1422" s="1" t="s">
        <v>181</v>
      </c>
      <c r="F1422" s="1" t="s">
        <v>158</v>
      </c>
      <c r="G1422" s="1" t="str">
        <f>"07587340964"</f>
        <v>07587340964</v>
      </c>
      <c r="I1422" s="1" t="s">
        <v>679</v>
      </c>
      <c r="L1422" s="1" t="s">
        <v>43</v>
      </c>
      <c r="M1422" s="1">
        <v>5000</v>
      </c>
      <c r="AG1422" s="1">
        <v>4600.2</v>
      </c>
      <c r="AH1422" s="2">
        <v>45222</v>
      </c>
      <c r="AI1422" s="2">
        <v>45291</v>
      </c>
      <c r="AJ1422" s="2">
        <v>45222</v>
      </c>
    </row>
    <row r="1423" spans="1:36">
      <c r="A1423" s="1" t="str">
        <f>"Z293CA62B1"</f>
        <v>Z293CA62B1</v>
      </c>
      <c r="B1423" s="1" t="str">
        <f t="shared" si="29"/>
        <v>02406911202</v>
      </c>
      <c r="C1423" s="1" t="s">
        <v>13</v>
      </c>
      <c r="D1423" s="1" t="s">
        <v>264</v>
      </c>
      <c r="E1423" s="1" t="s">
        <v>1589</v>
      </c>
      <c r="F1423" s="1" t="s">
        <v>158</v>
      </c>
      <c r="G1423" s="1" t="str">
        <f>"91155450371"</f>
        <v>91155450371</v>
      </c>
      <c r="I1423" s="1" t="s">
        <v>369</v>
      </c>
      <c r="L1423" s="1" t="s">
        <v>43</v>
      </c>
      <c r="M1423" s="1">
        <v>39000</v>
      </c>
      <c r="AG1423" s="1">
        <v>0</v>
      </c>
      <c r="AH1423" s="2">
        <v>45198</v>
      </c>
      <c r="AI1423" s="2">
        <v>45260</v>
      </c>
      <c r="AJ1423" s="2">
        <v>45198</v>
      </c>
    </row>
    <row r="1424" spans="1:36">
      <c r="A1424" s="1" t="str">
        <f>"Z293CA62B1"</f>
        <v>Z293CA62B1</v>
      </c>
      <c r="B1424" s="1" t="str">
        <f t="shared" si="29"/>
        <v>02406911202</v>
      </c>
      <c r="C1424" s="1" t="s">
        <v>13</v>
      </c>
      <c r="D1424" s="1" t="s">
        <v>264</v>
      </c>
      <c r="E1424" s="1" t="s">
        <v>1589</v>
      </c>
      <c r="F1424" s="1" t="s">
        <v>158</v>
      </c>
      <c r="G1424" s="1" t="str">
        <f>"00640800280"</f>
        <v>00640800280</v>
      </c>
      <c r="I1424" s="1" t="s">
        <v>394</v>
      </c>
      <c r="L1424" s="1" t="s">
        <v>100</v>
      </c>
      <c r="AJ1424" s="2">
        <v>45198</v>
      </c>
    </row>
    <row r="1425" spans="1:36">
      <c r="A1425" s="1" t="str">
        <f>"Z293CF2F38"</f>
        <v>Z293CF2F38</v>
      </c>
      <c r="B1425" s="1" t="str">
        <f t="shared" si="29"/>
        <v>02406911202</v>
      </c>
      <c r="C1425" s="1" t="s">
        <v>13</v>
      </c>
      <c r="D1425" s="1" t="s">
        <v>186</v>
      </c>
      <c r="E1425" s="1" t="s">
        <v>1590</v>
      </c>
      <c r="F1425" s="1" t="s">
        <v>158</v>
      </c>
      <c r="G1425" s="1" t="str">
        <f>"01067490050"</f>
        <v>01067490050</v>
      </c>
      <c r="I1425" s="1" t="s">
        <v>211</v>
      </c>
      <c r="L1425" s="1" t="s">
        <v>43</v>
      </c>
      <c r="M1425" s="1">
        <v>4999</v>
      </c>
      <c r="AG1425" s="1">
        <v>425.4</v>
      </c>
      <c r="AH1425" s="2">
        <v>45219</v>
      </c>
      <c r="AI1425" s="2">
        <v>46022</v>
      </c>
      <c r="AJ1425" s="2">
        <v>45219</v>
      </c>
    </row>
    <row r="1426" spans="1:36">
      <c r="A1426" s="1" t="str">
        <f>"Z293D34F2F"</f>
        <v>Z293D34F2F</v>
      </c>
      <c r="B1426" s="1" t="str">
        <f t="shared" si="29"/>
        <v>02406911202</v>
      </c>
      <c r="C1426" s="1" t="s">
        <v>13</v>
      </c>
      <c r="D1426" s="1" t="s">
        <v>186</v>
      </c>
      <c r="E1426" s="1" t="s">
        <v>1591</v>
      </c>
      <c r="F1426" s="1" t="s">
        <v>158</v>
      </c>
      <c r="G1426" s="1" t="str">
        <f>"02962870214"</f>
        <v>02962870214</v>
      </c>
      <c r="I1426" s="1" t="s">
        <v>1592</v>
      </c>
      <c r="L1426" s="1" t="s">
        <v>43</v>
      </c>
      <c r="M1426" s="1">
        <v>4999</v>
      </c>
      <c r="AG1426" s="1">
        <v>0</v>
      </c>
      <c r="AH1426" s="2">
        <v>45239</v>
      </c>
      <c r="AI1426" s="2">
        <v>45657</v>
      </c>
      <c r="AJ1426" s="2">
        <v>45239</v>
      </c>
    </row>
    <row r="1427" spans="1:36">
      <c r="A1427" s="1" t="str">
        <f>"Z293D34F2F"</f>
        <v>Z293D34F2F</v>
      </c>
      <c r="B1427" s="1" t="str">
        <f t="shared" si="29"/>
        <v>02406911202</v>
      </c>
      <c r="C1427" s="1" t="s">
        <v>13</v>
      </c>
      <c r="D1427" s="1" t="s">
        <v>186</v>
      </c>
      <c r="E1427" s="1" t="s">
        <v>1591</v>
      </c>
      <c r="F1427" s="1" t="s">
        <v>158</v>
      </c>
      <c r="G1427" s="1" t="str">
        <f>"05096510267"</f>
        <v>05096510267</v>
      </c>
      <c r="I1427" s="1" t="s">
        <v>1593</v>
      </c>
      <c r="L1427" s="1" t="s">
        <v>100</v>
      </c>
      <c r="AJ1427" s="2">
        <v>45239</v>
      </c>
    </row>
    <row r="1428" spans="1:36">
      <c r="A1428" s="1" t="str">
        <f>"Z293D45ADA"</f>
        <v>Z293D45ADA</v>
      </c>
      <c r="B1428" s="1" t="str">
        <f t="shared" si="29"/>
        <v>02406911202</v>
      </c>
      <c r="C1428" s="1" t="s">
        <v>13</v>
      </c>
      <c r="D1428" s="1" t="s">
        <v>177</v>
      </c>
      <c r="E1428" s="1" t="s">
        <v>1594</v>
      </c>
      <c r="F1428" s="1" t="s">
        <v>158</v>
      </c>
      <c r="G1428" s="1" t="str">
        <f>"91370180373"</f>
        <v>91370180373</v>
      </c>
      <c r="I1428" s="1" t="s">
        <v>1595</v>
      </c>
      <c r="L1428" s="1" t="s">
        <v>43</v>
      </c>
      <c r="M1428" s="1">
        <v>1700</v>
      </c>
      <c r="AG1428" s="1">
        <v>0</v>
      </c>
      <c r="AH1428" s="2">
        <v>45139</v>
      </c>
      <c r="AI1428" s="2">
        <v>45291</v>
      </c>
      <c r="AJ1428" s="2">
        <v>45139</v>
      </c>
    </row>
    <row r="1429" spans="1:36">
      <c r="A1429" s="1" t="str">
        <f>"Z293D53A66"</f>
        <v>Z293D53A66</v>
      </c>
      <c r="B1429" s="1" t="str">
        <f t="shared" si="29"/>
        <v>02406911202</v>
      </c>
      <c r="C1429" s="1" t="s">
        <v>13</v>
      </c>
      <c r="D1429" s="1" t="s">
        <v>186</v>
      </c>
      <c r="E1429" s="1" t="s">
        <v>1596</v>
      </c>
      <c r="F1429" s="1" t="s">
        <v>158</v>
      </c>
      <c r="G1429" s="1" t="str">
        <f>"03007080983"</f>
        <v>03007080983</v>
      </c>
      <c r="I1429" s="1" t="s">
        <v>1597</v>
      </c>
      <c r="L1429" s="1" t="s">
        <v>43</v>
      </c>
      <c r="M1429" s="1">
        <v>2000</v>
      </c>
      <c r="AG1429" s="1">
        <v>1148</v>
      </c>
      <c r="AH1429" s="2">
        <v>45247</v>
      </c>
      <c r="AI1429" s="2">
        <v>45322</v>
      </c>
      <c r="AJ1429" s="2">
        <v>45247</v>
      </c>
    </row>
    <row r="1430" spans="1:36">
      <c r="A1430" s="1" t="str">
        <f>"Z293D7B2CD"</f>
        <v>Z293D7B2CD</v>
      </c>
      <c r="B1430" s="1" t="str">
        <f t="shared" si="29"/>
        <v>02406911202</v>
      </c>
      <c r="C1430" s="1" t="s">
        <v>13</v>
      </c>
      <c r="D1430" s="1" t="s">
        <v>180</v>
      </c>
      <c r="E1430" s="1" t="s">
        <v>281</v>
      </c>
      <c r="F1430" s="1" t="s">
        <v>158</v>
      </c>
      <c r="G1430" s="1" t="str">
        <f>"15685941005"</f>
        <v>15685941005</v>
      </c>
      <c r="I1430" s="1" t="s">
        <v>1495</v>
      </c>
      <c r="L1430" s="1" t="s">
        <v>43</v>
      </c>
      <c r="M1430" s="1">
        <v>6000</v>
      </c>
      <c r="AG1430" s="1">
        <v>0</v>
      </c>
      <c r="AH1430" s="2">
        <v>45260</v>
      </c>
      <c r="AI1430" s="2">
        <v>45291</v>
      </c>
      <c r="AJ1430" s="2">
        <v>45260</v>
      </c>
    </row>
    <row r="1431" spans="1:36">
      <c r="A1431" s="1" t="str">
        <f>"Z2A3CA7888"</f>
        <v>Z2A3CA7888</v>
      </c>
      <c r="B1431" s="1" t="str">
        <f t="shared" si="29"/>
        <v>02406911202</v>
      </c>
      <c r="C1431" s="1" t="s">
        <v>13</v>
      </c>
      <c r="D1431" s="1" t="s">
        <v>264</v>
      </c>
      <c r="E1431" s="1" t="s">
        <v>1598</v>
      </c>
      <c r="F1431" s="1" t="s">
        <v>158</v>
      </c>
      <c r="G1431" s="1" t="str">
        <f>"02504331204"</f>
        <v>02504331204</v>
      </c>
      <c r="I1431" s="1" t="s">
        <v>1599</v>
      </c>
      <c r="L1431" s="1" t="s">
        <v>43</v>
      </c>
      <c r="M1431" s="1">
        <v>39900</v>
      </c>
      <c r="AG1431" s="1">
        <v>0</v>
      </c>
      <c r="AH1431" s="2">
        <v>45261</v>
      </c>
      <c r="AI1431" s="2">
        <v>45291</v>
      </c>
      <c r="AJ1431" s="2">
        <v>45261</v>
      </c>
    </row>
    <row r="1432" spans="1:36">
      <c r="A1432" s="1" t="str">
        <f>"Z2A3CE2CA5"</f>
        <v>Z2A3CE2CA5</v>
      </c>
      <c r="B1432" s="1" t="str">
        <f t="shared" si="29"/>
        <v>02406911202</v>
      </c>
      <c r="C1432" s="1" t="s">
        <v>13</v>
      </c>
      <c r="D1432" s="1" t="s">
        <v>264</v>
      </c>
      <c r="E1432" s="1" t="s">
        <v>1600</v>
      </c>
      <c r="F1432" s="1" t="s">
        <v>158</v>
      </c>
      <c r="G1432" s="1" t="str">
        <f>"03972911204"</f>
        <v>03972911204</v>
      </c>
      <c r="I1432" s="1" t="s">
        <v>1601</v>
      </c>
      <c r="L1432" s="1" t="s">
        <v>43</v>
      </c>
      <c r="M1432" s="1">
        <v>1639.92</v>
      </c>
      <c r="AG1432" s="1">
        <v>0</v>
      </c>
      <c r="AH1432" s="2">
        <v>45216</v>
      </c>
      <c r="AI1432" s="2">
        <v>45246</v>
      </c>
      <c r="AJ1432" s="2">
        <v>45216</v>
      </c>
    </row>
    <row r="1433" spans="1:36">
      <c r="A1433" s="1" t="str">
        <f>"Z2A3CF4CE7"</f>
        <v>Z2A3CF4CE7</v>
      </c>
      <c r="B1433" s="1" t="str">
        <f t="shared" si="29"/>
        <v>02406911202</v>
      </c>
      <c r="C1433" s="1" t="s">
        <v>13</v>
      </c>
      <c r="D1433" s="1" t="s">
        <v>180</v>
      </c>
      <c r="E1433" s="1" t="s">
        <v>220</v>
      </c>
      <c r="F1433" s="1" t="s">
        <v>158</v>
      </c>
      <c r="G1433" s="1" t="str">
        <f>"02173550282"</f>
        <v>02173550282</v>
      </c>
      <c r="I1433" s="1" t="s">
        <v>548</v>
      </c>
      <c r="L1433" s="1" t="s">
        <v>43</v>
      </c>
      <c r="M1433" s="1">
        <v>6000</v>
      </c>
      <c r="AG1433" s="1">
        <v>0</v>
      </c>
      <c r="AH1433" s="2">
        <v>45232</v>
      </c>
      <c r="AI1433" s="2">
        <v>45657</v>
      </c>
      <c r="AJ1433" s="2">
        <v>45232</v>
      </c>
    </row>
    <row r="1434" spans="1:36">
      <c r="A1434" s="1" t="str">
        <f>"Z2A3D2BE58"</f>
        <v>Z2A3D2BE58</v>
      </c>
      <c r="B1434" s="1" t="str">
        <f t="shared" si="29"/>
        <v>02406911202</v>
      </c>
      <c r="C1434" s="1" t="s">
        <v>13</v>
      </c>
      <c r="D1434" s="1" t="s">
        <v>180</v>
      </c>
      <c r="E1434" s="1" t="s">
        <v>220</v>
      </c>
      <c r="F1434" s="1" t="s">
        <v>158</v>
      </c>
      <c r="G1434" s="1" t="str">
        <f>"03597020373"</f>
        <v>03597020373</v>
      </c>
      <c r="I1434" s="1" t="s">
        <v>254</v>
      </c>
      <c r="L1434" s="1" t="s">
        <v>43</v>
      </c>
      <c r="M1434" s="1">
        <v>6000</v>
      </c>
      <c r="AG1434" s="1">
        <v>0</v>
      </c>
      <c r="AH1434" s="2">
        <v>45245</v>
      </c>
      <c r="AI1434" s="2">
        <v>45657</v>
      </c>
      <c r="AJ1434" s="2">
        <v>45245</v>
      </c>
    </row>
    <row r="1435" spans="1:36">
      <c r="A1435" s="1" t="str">
        <f>"Z2A3DB0137"</f>
        <v>Z2A3DB0137</v>
      </c>
      <c r="B1435" s="1" t="str">
        <f t="shared" si="29"/>
        <v>02406911202</v>
      </c>
      <c r="C1435" s="1" t="s">
        <v>13</v>
      </c>
      <c r="D1435" s="1" t="s">
        <v>167</v>
      </c>
      <c r="E1435" s="1" t="s">
        <v>1602</v>
      </c>
      <c r="F1435" s="1" t="s">
        <v>151</v>
      </c>
      <c r="G1435" s="1" t="str">
        <f>"02158490595"</f>
        <v>02158490595</v>
      </c>
      <c r="I1435" s="1" t="s">
        <v>694</v>
      </c>
      <c r="L1435" s="1" t="s">
        <v>43</v>
      </c>
      <c r="M1435" s="1">
        <v>16130.34</v>
      </c>
      <c r="AG1435" s="1">
        <v>0</v>
      </c>
      <c r="AH1435" s="2">
        <v>45281</v>
      </c>
      <c r="AI1435" s="2">
        <v>46022</v>
      </c>
      <c r="AJ1435" s="2">
        <v>45281</v>
      </c>
    </row>
    <row r="1436" spans="1:36">
      <c r="A1436" s="1" t="str">
        <f>"Z2A3DB878A"</f>
        <v>Z2A3DB878A</v>
      </c>
      <c r="B1436" s="1" t="str">
        <f t="shared" si="29"/>
        <v>02406911202</v>
      </c>
      <c r="C1436" s="1" t="s">
        <v>13</v>
      </c>
      <c r="D1436" s="1" t="s">
        <v>180</v>
      </c>
      <c r="E1436" s="1" t="s">
        <v>281</v>
      </c>
      <c r="F1436" s="1" t="s">
        <v>158</v>
      </c>
      <c r="G1436" s="1" t="str">
        <f>"09270550016"</f>
        <v>09270550016</v>
      </c>
      <c r="I1436" s="1" t="s">
        <v>406</v>
      </c>
      <c r="L1436" s="1" t="s">
        <v>43</v>
      </c>
      <c r="M1436" s="1">
        <v>6000</v>
      </c>
      <c r="AG1436" s="1">
        <v>0</v>
      </c>
      <c r="AH1436" s="2">
        <v>45272</v>
      </c>
      <c r="AI1436" s="2">
        <v>45657</v>
      </c>
      <c r="AJ1436" s="2">
        <v>45272</v>
      </c>
    </row>
    <row r="1437" spans="1:36">
      <c r="A1437" s="1" t="str">
        <f>"Z2B3CA2B58"</f>
        <v>Z2B3CA2B58</v>
      </c>
      <c r="B1437" s="1" t="str">
        <f t="shared" si="29"/>
        <v>02406911202</v>
      </c>
      <c r="C1437" s="1" t="s">
        <v>13</v>
      </c>
      <c r="D1437" s="1" t="s">
        <v>180</v>
      </c>
      <c r="E1437" s="1" t="s">
        <v>220</v>
      </c>
      <c r="F1437" s="1" t="s">
        <v>158</v>
      </c>
      <c r="G1437" s="1" t="str">
        <f>"07862510018"</f>
        <v>07862510018</v>
      </c>
      <c r="I1437" s="1" t="s">
        <v>330</v>
      </c>
      <c r="L1437" s="1" t="s">
        <v>43</v>
      </c>
      <c r="M1437" s="1">
        <v>6000</v>
      </c>
      <c r="AG1437" s="1">
        <v>3923.2</v>
      </c>
      <c r="AH1437" s="2">
        <v>45198</v>
      </c>
      <c r="AI1437" s="2">
        <v>45291</v>
      </c>
      <c r="AJ1437" s="2">
        <v>45198</v>
      </c>
    </row>
    <row r="1438" spans="1:36">
      <c r="A1438" s="1" t="str">
        <f>"Z2B3CC178A"</f>
        <v>Z2B3CC178A</v>
      </c>
      <c r="B1438" s="1" t="str">
        <f t="shared" si="29"/>
        <v>02406911202</v>
      </c>
      <c r="C1438" s="1" t="s">
        <v>13</v>
      </c>
      <c r="D1438" s="1" t="s">
        <v>180</v>
      </c>
      <c r="E1438" s="1" t="s">
        <v>281</v>
      </c>
      <c r="F1438" s="1" t="s">
        <v>158</v>
      </c>
      <c r="G1438" s="1" t="str">
        <f>"12572900152"</f>
        <v>12572900152</v>
      </c>
      <c r="I1438" s="1" t="s">
        <v>335</v>
      </c>
      <c r="L1438" s="1" t="s">
        <v>43</v>
      </c>
      <c r="M1438" s="1">
        <v>6000</v>
      </c>
      <c r="AG1438" s="1">
        <v>6571.6</v>
      </c>
      <c r="AH1438" s="2">
        <v>45208</v>
      </c>
      <c r="AI1438" s="2">
        <v>45291</v>
      </c>
      <c r="AJ1438" s="2">
        <v>45208</v>
      </c>
    </row>
    <row r="1439" spans="1:36">
      <c r="A1439" s="1" t="str">
        <f>"Z2B3DD17D7"</f>
        <v>Z2B3DD17D7</v>
      </c>
      <c r="B1439" s="1" t="str">
        <f t="shared" si="29"/>
        <v>02406911202</v>
      </c>
      <c r="C1439" s="1" t="s">
        <v>13</v>
      </c>
      <c r="D1439" s="1" t="s">
        <v>186</v>
      </c>
      <c r="E1439" s="1" t="s">
        <v>1603</v>
      </c>
      <c r="F1439" s="1" t="s">
        <v>158</v>
      </c>
      <c r="G1439" s="1" t="str">
        <f>"00674840152"</f>
        <v>00674840152</v>
      </c>
      <c r="I1439" s="1" t="s">
        <v>87</v>
      </c>
      <c r="L1439" s="1" t="s">
        <v>43</v>
      </c>
      <c r="M1439" s="1">
        <v>4999</v>
      </c>
      <c r="AG1439" s="1">
        <v>0</v>
      </c>
      <c r="AH1439" s="2">
        <v>45278</v>
      </c>
      <c r="AI1439" s="2">
        <v>45657</v>
      </c>
      <c r="AJ1439" s="2">
        <v>45278</v>
      </c>
    </row>
    <row r="1440" spans="1:36">
      <c r="A1440" s="1" t="str">
        <f>"Z2C3CAA240"</f>
        <v>Z2C3CAA240</v>
      </c>
      <c r="B1440" s="1" t="str">
        <f t="shared" si="29"/>
        <v>02406911202</v>
      </c>
      <c r="C1440" s="1" t="s">
        <v>13</v>
      </c>
      <c r="D1440" s="1" t="s">
        <v>180</v>
      </c>
      <c r="E1440" s="1" t="s">
        <v>281</v>
      </c>
      <c r="F1440" s="1" t="s">
        <v>158</v>
      </c>
      <c r="G1440" s="1" t="str">
        <f>"12572900152"</f>
        <v>12572900152</v>
      </c>
      <c r="I1440" s="1" t="s">
        <v>335</v>
      </c>
      <c r="L1440" s="1" t="s">
        <v>43</v>
      </c>
      <c r="M1440" s="1">
        <v>6000</v>
      </c>
      <c r="AG1440" s="1">
        <v>6940</v>
      </c>
      <c r="AH1440" s="2">
        <v>45201</v>
      </c>
      <c r="AI1440" s="2">
        <v>45291</v>
      </c>
      <c r="AJ1440" s="2">
        <v>45201</v>
      </c>
    </row>
    <row r="1441" spans="1:36">
      <c r="A1441" s="1" t="str">
        <f>"Z2C3D0BC23"</f>
        <v>Z2C3D0BC23</v>
      </c>
      <c r="B1441" s="1" t="str">
        <f t="shared" si="29"/>
        <v>02406911202</v>
      </c>
      <c r="C1441" s="1" t="s">
        <v>13</v>
      </c>
      <c r="D1441" s="1" t="s">
        <v>186</v>
      </c>
      <c r="E1441" s="1" t="s">
        <v>1604</v>
      </c>
      <c r="F1441" s="1" t="s">
        <v>158</v>
      </c>
      <c r="G1441" s="1" t="str">
        <f>"12572900152"</f>
        <v>12572900152</v>
      </c>
      <c r="I1441" s="1" t="s">
        <v>335</v>
      </c>
      <c r="L1441" s="1" t="s">
        <v>43</v>
      </c>
      <c r="M1441" s="1">
        <v>39676.6</v>
      </c>
      <c r="AG1441" s="1">
        <v>0</v>
      </c>
      <c r="AH1441" s="2">
        <v>45250</v>
      </c>
      <c r="AI1441" s="2">
        <v>45626</v>
      </c>
      <c r="AJ1441" s="2">
        <v>45250</v>
      </c>
    </row>
    <row r="1442" spans="1:36">
      <c r="A1442" s="1" t="str">
        <f>"Z2C3D8ADA1"</f>
        <v>Z2C3D8ADA1</v>
      </c>
      <c r="B1442" s="1" t="str">
        <f t="shared" si="29"/>
        <v>02406911202</v>
      </c>
      <c r="C1442" s="1" t="s">
        <v>13</v>
      </c>
      <c r="D1442" s="1" t="s">
        <v>177</v>
      </c>
      <c r="E1442" s="1" t="s">
        <v>1605</v>
      </c>
      <c r="F1442" s="1" t="s">
        <v>158</v>
      </c>
      <c r="G1442" s="1" t="str">
        <f>"04158651200"</f>
        <v>04158651200</v>
      </c>
      <c r="I1442" s="1" t="s">
        <v>1606</v>
      </c>
      <c r="L1442" s="1" t="s">
        <v>43</v>
      </c>
      <c r="M1442" s="1">
        <v>10000</v>
      </c>
      <c r="AG1442" s="1">
        <v>0</v>
      </c>
      <c r="AH1442" s="2">
        <v>45261</v>
      </c>
      <c r="AI1442" s="2">
        <v>45291</v>
      </c>
      <c r="AJ1442" s="2">
        <v>45261</v>
      </c>
    </row>
    <row r="1443" spans="1:36">
      <c r="A1443" s="1" t="str">
        <f>"Z2D3C9A97B"</f>
        <v>Z2D3C9A97B</v>
      </c>
      <c r="B1443" s="1" t="str">
        <f t="shared" si="29"/>
        <v>02406911202</v>
      </c>
      <c r="C1443" s="1" t="s">
        <v>13</v>
      </c>
      <c r="D1443" s="1" t="s">
        <v>186</v>
      </c>
      <c r="E1443" s="1" t="s">
        <v>1607</v>
      </c>
      <c r="F1443" s="1" t="s">
        <v>158</v>
      </c>
      <c r="G1443" s="1" t="str">
        <f>"02895130363"</f>
        <v>02895130363</v>
      </c>
      <c r="I1443" s="1" t="s">
        <v>594</v>
      </c>
      <c r="L1443" s="1" t="s">
        <v>43</v>
      </c>
      <c r="M1443" s="1">
        <v>850</v>
      </c>
      <c r="AG1443" s="1">
        <v>0</v>
      </c>
      <c r="AH1443" s="2">
        <v>45198</v>
      </c>
      <c r="AI1443" s="2">
        <v>45291</v>
      </c>
      <c r="AJ1443" s="2">
        <v>45198</v>
      </c>
    </row>
    <row r="1444" spans="1:36">
      <c r="A1444" s="1" t="str">
        <f>"Z2D3D22633"</f>
        <v>Z2D3D22633</v>
      </c>
      <c r="B1444" s="1" t="str">
        <f t="shared" si="29"/>
        <v>02406911202</v>
      </c>
      <c r="C1444" s="1" t="s">
        <v>13</v>
      </c>
      <c r="D1444" s="1" t="s">
        <v>180</v>
      </c>
      <c r="E1444" s="1" t="s">
        <v>181</v>
      </c>
      <c r="F1444" s="1" t="s">
        <v>158</v>
      </c>
      <c r="G1444" s="1" t="str">
        <f>"03432221202"</f>
        <v>03432221202</v>
      </c>
      <c r="I1444" s="1" t="s">
        <v>562</v>
      </c>
      <c r="L1444" s="1" t="s">
        <v>43</v>
      </c>
      <c r="M1444" s="1">
        <v>5000</v>
      </c>
      <c r="AG1444" s="1">
        <v>0</v>
      </c>
      <c r="AH1444" s="2">
        <v>45236</v>
      </c>
      <c r="AI1444" s="2">
        <v>45291</v>
      </c>
      <c r="AJ1444" s="2">
        <v>45236</v>
      </c>
    </row>
    <row r="1445" spans="1:36">
      <c r="A1445" s="1" t="str">
        <f>"Z2D3D2E469"</f>
        <v>Z2D3D2E469</v>
      </c>
      <c r="B1445" s="1" t="str">
        <f t="shared" si="29"/>
        <v>02406911202</v>
      </c>
      <c r="C1445" s="1" t="s">
        <v>13</v>
      </c>
      <c r="D1445" s="1" t="s">
        <v>177</v>
      </c>
      <c r="E1445" s="1" t="s">
        <v>1608</v>
      </c>
      <c r="F1445" s="1" t="s">
        <v>158</v>
      </c>
      <c r="G1445" s="1" t="str">
        <f>"CLNDLU82D03D423P"</f>
        <v>CLNDLU82D03D423P</v>
      </c>
      <c r="I1445" s="1" t="s">
        <v>1609</v>
      </c>
      <c r="L1445" s="1" t="s">
        <v>43</v>
      </c>
      <c r="M1445" s="1">
        <v>39000</v>
      </c>
      <c r="AG1445" s="1">
        <v>39000</v>
      </c>
      <c r="AH1445" s="2">
        <v>45231</v>
      </c>
      <c r="AI1445" s="2">
        <v>46022</v>
      </c>
      <c r="AJ1445" s="2">
        <v>45231</v>
      </c>
    </row>
    <row r="1446" spans="1:36">
      <c r="A1446" s="1" t="str">
        <f>"Z2E3CCDB76"</f>
        <v>Z2E3CCDB76</v>
      </c>
      <c r="B1446" s="1" t="str">
        <f t="shared" si="29"/>
        <v>02406911202</v>
      </c>
      <c r="C1446" s="1" t="s">
        <v>13</v>
      </c>
      <c r="D1446" s="1" t="s">
        <v>186</v>
      </c>
      <c r="E1446" s="1" t="s">
        <v>1610</v>
      </c>
      <c r="F1446" s="1" t="s">
        <v>158</v>
      </c>
      <c r="G1446" s="1" t="str">
        <f>"01471280162"</f>
        <v>01471280162</v>
      </c>
      <c r="I1446" s="1" t="s">
        <v>1050</v>
      </c>
      <c r="L1446" s="1" t="s">
        <v>43</v>
      </c>
      <c r="M1446" s="1">
        <v>4999</v>
      </c>
      <c r="AG1446" s="1">
        <v>2435.6999999999998</v>
      </c>
      <c r="AH1446" s="2">
        <v>45210</v>
      </c>
      <c r="AI1446" s="2">
        <v>45291</v>
      </c>
      <c r="AJ1446" s="2">
        <v>45210</v>
      </c>
    </row>
    <row r="1447" spans="1:36">
      <c r="A1447" s="1" t="str">
        <f>"Z2E3D7A185"</f>
        <v>Z2E3D7A185</v>
      </c>
      <c r="B1447" s="1" t="str">
        <f t="shared" si="29"/>
        <v>02406911202</v>
      </c>
      <c r="C1447" s="1" t="s">
        <v>13</v>
      </c>
      <c r="D1447" s="1" t="s">
        <v>186</v>
      </c>
      <c r="E1447" s="1" t="s">
        <v>1611</v>
      </c>
      <c r="F1447" s="1" t="s">
        <v>158</v>
      </c>
      <c r="G1447" s="1" t="str">
        <f>"01067490050"</f>
        <v>01067490050</v>
      </c>
      <c r="I1447" s="1" t="s">
        <v>211</v>
      </c>
      <c r="L1447" s="1" t="s">
        <v>43</v>
      </c>
      <c r="M1447" s="1">
        <v>4999</v>
      </c>
      <c r="AG1447" s="1">
        <v>0</v>
      </c>
      <c r="AH1447" s="2">
        <v>45258</v>
      </c>
      <c r="AI1447" s="2">
        <v>46387</v>
      </c>
      <c r="AJ1447" s="2">
        <v>45258</v>
      </c>
    </row>
    <row r="1448" spans="1:36">
      <c r="A1448" s="1" t="str">
        <f>"Z2E3D9386A"</f>
        <v>Z2E3D9386A</v>
      </c>
      <c r="B1448" s="1" t="str">
        <f t="shared" si="29"/>
        <v>02406911202</v>
      </c>
      <c r="C1448" s="1" t="s">
        <v>13</v>
      </c>
      <c r="D1448" s="1" t="s">
        <v>180</v>
      </c>
      <c r="E1448" s="1" t="s">
        <v>296</v>
      </c>
      <c r="F1448" s="1" t="s">
        <v>158</v>
      </c>
      <c r="G1448" s="1" t="str">
        <f>"09058160152"</f>
        <v>09058160152</v>
      </c>
      <c r="I1448" s="1" t="s">
        <v>675</v>
      </c>
      <c r="L1448" s="1" t="s">
        <v>43</v>
      </c>
      <c r="M1448" s="1">
        <v>5000</v>
      </c>
      <c r="AG1448" s="1">
        <v>0</v>
      </c>
      <c r="AH1448" s="2">
        <v>45264</v>
      </c>
      <c r="AI1448" s="2">
        <v>45657</v>
      </c>
      <c r="AJ1448" s="2">
        <v>45264</v>
      </c>
    </row>
    <row r="1449" spans="1:36">
      <c r="A1449" s="1" t="str">
        <f>"Z2E3D95ABB"</f>
        <v>Z2E3D95ABB</v>
      </c>
      <c r="B1449" s="1" t="str">
        <f t="shared" si="29"/>
        <v>02406911202</v>
      </c>
      <c r="C1449" s="1" t="s">
        <v>13</v>
      </c>
      <c r="D1449" s="1" t="s">
        <v>180</v>
      </c>
      <c r="E1449" s="1" t="s">
        <v>1612</v>
      </c>
      <c r="F1449" s="1" t="s">
        <v>158</v>
      </c>
      <c r="G1449" s="1" t="str">
        <f>"00962280590"</f>
        <v>00962280590</v>
      </c>
      <c r="I1449" s="1" t="s">
        <v>42</v>
      </c>
      <c r="L1449" s="1" t="s">
        <v>43</v>
      </c>
      <c r="M1449" s="1">
        <v>5000</v>
      </c>
      <c r="AG1449" s="1">
        <v>0</v>
      </c>
      <c r="AH1449" s="2">
        <v>45264</v>
      </c>
      <c r="AI1449" s="2">
        <v>45291</v>
      </c>
      <c r="AJ1449" s="2">
        <v>45264</v>
      </c>
    </row>
    <row r="1450" spans="1:36">
      <c r="A1450" s="1" t="str">
        <f>"Z2F3D21AF9"</f>
        <v>Z2F3D21AF9</v>
      </c>
      <c r="B1450" s="1" t="str">
        <f t="shared" si="29"/>
        <v>02406911202</v>
      </c>
      <c r="C1450" s="1" t="s">
        <v>13</v>
      </c>
      <c r="D1450" s="1" t="s">
        <v>186</v>
      </c>
      <c r="E1450" s="1" t="s">
        <v>1613</v>
      </c>
      <c r="F1450" s="1" t="s">
        <v>158</v>
      </c>
      <c r="G1450" s="1" t="str">
        <f>"08082461008"</f>
        <v>08082461008</v>
      </c>
      <c r="I1450" s="1" t="s">
        <v>88</v>
      </c>
      <c r="L1450" s="1" t="s">
        <v>43</v>
      </c>
      <c r="M1450" s="1">
        <v>4999</v>
      </c>
      <c r="AG1450" s="1">
        <v>0</v>
      </c>
      <c r="AH1450" s="2">
        <v>45236</v>
      </c>
      <c r="AI1450" s="2">
        <v>45657</v>
      </c>
      <c r="AJ1450" s="2">
        <v>45236</v>
      </c>
    </row>
    <row r="1451" spans="1:36">
      <c r="A1451" s="1" t="str">
        <f>"Z2F3D41FAE"</f>
        <v>Z2F3D41FAE</v>
      </c>
      <c r="B1451" s="1" t="str">
        <f t="shared" si="29"/>
        <v>02406911202</v>
      </c>
      <c r="C1451" s="1" t="s">
        <v>13</v>
      </c>
      <c r="D1451" s="1" t="s">
        <v>180</v>
      </c>
      <c r="E1451" s="1" t="s">
        <v>220</v>
      </c>
      <c r="F1451" s="1" t="s">
        <v>158</v>
      </c>
      <c r="G1451" s="1" t="str">
        <f>"06068041000"</f>
        <v>06068041000</v>
      </c>
      <c r="I1451" s="1" t="s">
        <v>468</v>
      </c>
      <c r="L1451" s="1" t="s">
        <v>43</v>
      </c>
      <c r="M1451" s="1">
        <v>6000</v>
      </c>
      <c r="AG1451" s="1">
        <v>0</v>
      </c>
      <c r="AH1451" s="2">
        <v>45257</v>
      </c>
      <c r="AI1451" s="2">
        <v>45657</v>
      </c>
      <c r="AJ1451" s="2">
        <v>45257</v>
      </c>
    </row>
    <row r="1452" spans="1:36">
      <c r="A1452" s="1" t="str">
        <f>"Z2F3DBD076"</f>
        <v>Z2F3DBD076</v>
      </c>
      <c r="B1452" s="1" t="str">
        <f t="shared" si="29"/>
        <v>02406911202</v>
      </c>
      <c r="C1452" s="1" t="s">
        <v>13</v>
      </c>
      <c r="D1452" s="1" t="s">
        <v>180</v>
      </c>
      <c r="E1452" s="1" t="s">
        <v>281</v>
      </c>
      <c r="F1452" s="1" t="s">
        <v>158</v>
      </c>
      <c r="G1452" s="1" t="str">
        <f>"13534721009"</f>
        <v>13534721009</v>
      </c>
      <c r="I1452" s="1" t="s">
        <v>1614</v>
      </c>
      <c r="L1452" s="1" t="s">
        <v>43</v>
      </c>
      <c r="M1452" s="1">
        <v>6000</v>
      </c>
      <c r="AG1452" s="1">
        <v>0</v>
      </c>
      <c r="AH1452" s="2">
        <v>45289</v>
      </c>
      <c r="AI1452" s="2">
        <v>45322</v>
      </c>
      <c r="AJ1452" s="2">
        <v>45289</v>
      </c>
    </row>
    <row r="1453" spans="1:36">
      <c r="A1453" s="1" t="str">
        <f>"Z303E03C31"</f>
        <v>Z303E03C31</v>
      </c>
      <c r="B1453" s="1" t="str">
        <f t="shared" si="29"/>
        <v>02406911202</v>
      </c>
      <c r="C1453" s="1" t="s">
        <v>13</v>
      </c>
      <c r="D1453" s="1" t="s">
        <v>180</v>
      </c>
      <c r="E1453" s="1" t="s">
        <v>181</v>
      </c>
      <c r="F1453" s="1" t="s">
        <v>158</v>
      </c>
      <c r="G1453" s="1" t="str">
        <f>"02723850034"</f>
        <v>02723850034</v>
      </c>
      <c r="I1453" s="1" t="s">
        <v>1615</v>
      </c>
      <c r="L1453" s="1" t="s">
        <v>43</v>
      </c>
      <c r="M1453" s="1">
        <v>5000</v>
      </c>
      <c r="AG1453" s="1">
        <v>0</v>
      </c>
      <c r="AH1453" s="2">
        <v>45289</v>
      </c>
      <c r="AI1453" s="2">
        <v>45291</v>
      </c>
      <c r="AJ1453" s="2">
        <v>45289</v>
      </c>
    </row>
    <row r="1454" spans="1:36">
      <c r="A1454" s="1" t="str">
        <f>"Z313D45625"</f>
        <v>Z313D45625</v>
      </c>
      <c r="B1454" s="1" t="str">
        <f t="shared" si="29"/>
        <v>02406911202</v>
      </c>
      <c r="C1454" s="1" t="s">
        <v>13</v>
      </c>
      <c r="D1454" s="1" t="s">
        <v>177</v>
      </c>
      <c r="E1454" s="1" t="s">
        <v>1616</v>
      </c>
      <c r="F1454" s="1" t="s">
        <v>158</v>
      </c>
      <c r="G1454" s="1" t="str">
        <f>"91340210375"</f>
        <v>91340210375</v>
      </c>
      <c r="I1454" s="1" t="s">
        <v>1617</v>
      </c>
      <c r="L1454" s="1" t="s">
        <v>43</v>
      </c>
      <c r="M1454" s="1">
        <v>2250</v>
      </c>
      <c r="AG1454" s="1">
        <v>0</v>
      </c>
      <c r="AH1454" s="2">
        <v>45139</v>
      </c>
      <c r="AI1454" s="2">
        <v>45291</v>
      </c>
      <c r="AJ1454" s="2">
        <v>45139</v>
      </c>
    </row>
    <row r="1455" spans="1:36">
      <c r="A1455" s="1" t="str">
        <f>"Z313D829A2"</f>
        <v>Z313D829A2</v>
      </c>
      <c r="B1455" s="1" t="str">
        <f t="shared" si="29"/>
        <v>02406911202</v>
      </c>
      <c r="C1455" s="1" t="s">
        <v>13</v>
      </c>
      <c r="D1455" s="1" t="s">
        <v>180</v>
      </c>
      <c r="E1455" s="1" t="s">
        <v>185</v>
      </c>
      <c r="F1455" s="1" t="s">
        <v>158</v>
      </c>
      <c r="G1455" s="1" t="str">
        <f>"02578030153"</f>
        <v>02578030153</v>
      </c>
      <c r="I1455" s="1" t="s">
        <v>1618</v>
      </c>
      <c r="L1455" s="1" t="s">
        <v>43</v>
      </c>
      <c r="M1455" s="1">
        <v>6000</v>
      </c>
      <c r="AG1455" s="1">
        <v>0</v>
      </c>
      <c r="AH1455" s="2">
        <v>45259</v>
      </c>
      <c r="AI1455" s="2">
        <v>45291</v>
      </c>
      <c r="AJ1455" s="2">
        <v>45259</v>
      </c>
    </row>
    <row r="1456" spans="1:36">
      <c r="A1456" s="1" t="str">
        <f>"Z313D86280"</f>
        <v>Z313D86280</v>
      </c>
      <c r="B1456" s="1" t="str">
        <f t="shared" si="29"/>
        <v>02406911202</v>
      </c>
      <c r="C1456" s="1" t="s">
        <v>13</v>
      </c>
      <c r="D1456" s="1" t="s">
        <v>180</v>
      </c>
      <c r="E1456" s="1" t="s">
        <v>185</v>
      </c>
      <c r="F1456" s="1" t="s">
        <v>158</v>
      </c>
      <c r="G1456" s="1" t="str">
        <f>"11654150157"</f>
        <v>11654150157</v>
      </c>
      <c r="I1456" s="1" t="s">
        <v>263</v>
      </c>
      <c r="L1456" s="1" t="s">
        <v>43</v>
      </c>
      <c r="M1456" s="1">
        <v>5000</v>
      </c>
      <c r="AG1456" s="1">
        <v>0</v>
      </c>
      <c r="AH1456" s="2">
        <v>45260</v>
      </c>
      <c r="AI1456" s="2">
        <v>45291</v>
      </c>
      <c r="AJ1456" s="2">
        <v>45260</v>
      </c>
    </row>
    <row r="1457" spans="1:36">
      <c r="A1457" s="1" t="str">
        <f>"Z323CA622D"</f>
        <v>Z323CA622D</v>
      </c>
      <c r="B1457" s="1" t="str">
        <f t="shared" si="29"/>
        <v>02406911202</v>
      </c>
      <c r="C1457" s="1" t="s">
        <v>13</v>
      </c>
      <c r="D1457" s="1" t="s">
        <v>264</v>
      </c>
      <c r="E1457" s="1" t="s">
        <v>1619</v>
      </c>
      <c r="F1457" s="1" t="s">
        <v>158</v>
      </c>
      <c r="G1457" s="1" t="str">
        <f>"01925460022"</f>
        <v>01925460022</v>
      </c>
      <c r="I1457" s="1" t="s">
        <v>1620</v>
      </c>
      <c r="L1457" s="1" t="s">
        <v>43</v>
      </c>
      <c r="M1457" s="1">
        <v>4208</v>
      </c>
      <c r="AG1457" s="1">
        <v>0</v>
      </c>
      <c r="AH1457" s="2">
        <v>45198</v>
      </c>
      <c r="AI1457" s="2">
        <v>45198</v>
      </c>
      <c r="AJ1457" s="2">
        <v>45198</v>
      </c>
    </row>
    <row r="1458" spans="1:36">
      <c r="A1458" s="1" t="str">
        <f>"Z323D5E47C"</f>
        <v>Z323D5E47C</v>
      </c>
      <c r="B1458" s="1" t="str">
        <f t="shared" si="29"/>
        <v>02406911202</v>
      </c>
      <c r="C1458" s="1" t="s">
        <v>13</v>
      </c>
      <c r="D1458" s="1" t="s">
        <v>180</v>
      </c>
      <c r="E1458" s="1" t="s">
        <v>281</v>
      </c>
      <c r="F1458" s="1" t="s">
        <v>158</v>
      </c>
      <c r="G1458" s="1" t="str">
        <f>"03279980134"</f>
        <v>03279980134</v>
      </c>
      <c r="I1458" s="1" t="s">
        <v>1621</v>
      </c>
      <c r="L1458" s="1" t="s">
        <v>43</v>
      </c>
      <c r="M1458" s="1">
        <v>5000</v>
      </c>
      <c r="AG1458" s="1">
        <v>0</v>
      </c>
      <c r="AH1458" s="2">
        <v>45251</v>
      </c>
      <c r="AI1458" s="2">
        <v>45291</v>
      </c>
      <c r="AJ1458" s="2">
        <v>45251</v>
      </c>
    </row>
    <row r="1459" spans="1:36">
      <c r="A1459" s="1" t="str">
        <f>"Z333C93280"</f>
        <v>Z333C93280</v>
      </c>
      <c r="B1459" s="1" t="str">
        <f t="shared" si="29"/>
        <v>02406911202</v>
      </c>
      <c r="C1459" s="1" t="s">
        <v>13</v>
      </c>
      <c r="D1459" s="1" t="s">
        <v>180</v>
      </c>
      <c r="E1459" s="1" t="s">
        <v>1622</v>
      </c>
      <c r="F1459" s="1" t="s">
        <v>158</v>
      </c>
      <c r="G1459" s="1" t="str">
        <f>"09270550016"</f>
        <v>09270550016</v>
      </c>
      <c r="I1459" s="1" t="s">
        <v>406</v>
      </c>
      <c r="L1459" s="1" t="s">
        <v>43</v>
      </c>
      <c r="M1459" s="1">
        <v>6000</v>
      </c>
      <c r="AG1459" s="1">
        <v>6592</v>
      </c>
      <c r="AH1459" s="2">
        <v>45194</v>
      </c>
      <c r="AI1459" s="2">
        <v>45291</v>
      </c>
      <c r="AJ1459" s="2">
        <v>45194</v>
      </c>
    </row>
    <row r="1460" spans="1:36">
      <c r="A1460" s="1" t="str">
        <f>"Z333CA55B3"</f>
        <v>Z333CA55B3</v>
      </c>
      <c r="B1460" s="1" t="str">
        <f t="shared" si="29"/>
        <v>02406911202</v>
      </c>
      <c r="C1460" s="1" t="s">
        <v>13</v>
      </c>
      <c r="D1460" s="1" t="s">
        <v>180</v>
      </c>
      <c r="E1460" s="1" t="s">
        <v>220</v>
      </c>
      <c r="F1460" s="1" t="s">
        <v>158</v>
      </c>
      <c r="G1460" s="1" t="str">
        <f>"00759430267"</f>
        <v>00759430267</v>
      </c>
      <c r="I1460" s="1" t="s">
        <v>327</v>
      </c>
      <c r="L1460" s="1" t="s">
        <v>43</v>
      </c>
      <c r="M1460" s="1">
        <v>6000</v>
      </c>
      <c r="AG1460" s="1">
        <v>2466.75</v>
      </c>
      <c r="AH1460" s="2">
        <v>45216</v>
      </c>
      <c r="AI1460" s="2">
        <v>45291</v>
      </c>
      <c r="AJ1460" s="2">
        <v>45216</v>
      </c>
    </row>
    <row r="1461" spans="1:36">
      <c r="A1461" s="1" t="str">
        <f>"Z333CDF634"</f>
        <v>Z333CDF634</v>
      </c>
      <c r="B1461" s="1" t="str">
        <f t="shared" si="29"/>
        <v>02406911202</v>
      </c>
      <c r="C1461" s="1" t="s">
        <v>13</v>
      </c>
      <c r="D1461" s="1" t="s">
        <v>264</v>
      </c>
      <c r="E1461" s="1" t="s">
        <v>1623</v>
      </c>
      <c r="F1461" s="1" t="s">
        <v>158</v>
      </c>
      <c r="G1461" s="1" t="str">
        <f>"00615700374"</f>
        <v>00615700374</v>
      </c>
      <c r="I1461" s="1" t="s">
        <v>332</v>
      </c>
      <c r="L1461" s="1" t="s">
        <v>43</v>
      </c>
      <c r="M1461" s="1">
        <v>4635</v>
      </c>
      <c r="AG1461" s="1">
        <v>0</v>
      </c>
      <c r="AH1461" s="2">
        <v>45216</v>
      </c>
      <c r="AI1461" s="2">
        <v>45223</v>
      </c>
      <c r="AJ1461" s="2">
        <v>45216</v>
      </c>
    </row>
    <row r="1462" spans="1:36">
      <c r="A1462" s="1" t="str">
        <f>"Z333D31FE0"</f>
        <v>Z333D31FE0</v>
      </c>
      <c r="B1462" s="1" t="str">
        <f t="shared" si="29"/>
        <v>02406911202</v>
      </c>
      <c r="C1462" s="1" t="s">
        <v>13</v>
      </c>
      <c r="D1462" s="1" t="s">
        <v>186</v>
      </c>
      <c r="E1462" s="1" t="s">
        <v>1624</v>
      </c>
      <c r="F1462" s="1" t="s">
        <v>158</v>
      </c>
      <c r="G1462" s="1" t="str">
        <f>"04823140266"</f>
        <v>04823140266</v>
      </c>
      <c r="I1462" s="1" t="s">
        <v>1625</v>
      </c>
      <c r="L1462" s="1" t="s">
        <v>43</v>
      </c>
      <c r="M1462" s="1">
        <v>4999</v>
      </c>
      <c r="AG1462" s="1">
        <v>0</v>
      </c>
      <c r="AH1462" s="2">
        <v>45239</v>
      </c>
      <c r="AI1462" s="2">
        <v>45657</v>
      </c>
      <c r="AJ1462" s="2">
        <v>45239</v>
      </c>
    </row>
    <row r="1463" spans="1:36">
      <c r="A1463" s="1" t="str">
        <f>"Z343D69196"</f>
        <v>Z343D69196</v>
      </c>
      <c r="B1463" s="1" t="str">
        <f t="shared" si="29"/>
        <v>02406911202</v>
      </c>
      <c r="C1463" s="1" t="s">
        <v>13</v>
      </c>
      <c r="D1463" s="1" t="s">
        <v>180</v>
      </c>
      <c r="E1463" s="1" t="s">
        <v>296</v>
      </c>
      <c r="F1463" s="1" t="s">
        <v>158</v>
      </c>
      <c r="G1463" s="1" t="str">
        <f>"07862510018"</f>
        <v>07862510018</v>
      </c>
      <c r="I1463" s="1" t="s">
        <v>330</v>
      </c>
      <c r="L1463" s="1" t="s">
        <v>43</v>
      </c>
      <c r="M1463" s="1">
        <v>5000</v>
      </c>
      <c r="AG1463" s="1">
        <v>0</v>
      </c>
      <c r="AH1463" s="2">
        <v>45253</v>
      </c>
      <c r="AI1463" s="2">
        <v>45291</v>
      </c>
      <c r="AJ1463" s="2">
        <v>45253</v>
      </c>
    </row>
    <row r="1464" spans="1:36">
      <c r="A1464" s="1" t="str">
        <f>"Z343DE9A9C"</f>
        <v>Z343DE9A9C</v>
      </c>
      <c r="B1464" s="1" t="str">
        <f t="shared" si="29"/>
        <v>02406911202</v>
      </c>
      <c r="C1464" s="1" t="s">
        <v>13</v>
      </c>
      <c r="D1464" s="1" t="s">
        <v>167</v>
      </c>
      <c r="E1464" s="1" t="s">
        <v>1626</v>
      </c>
      <c r="F1464" s="1" t="s">
        <v>158</v>
      </c>
      <c r="G1464" s="1" t="str">
        <f>"04705810150"</f>
        <v>04705810150</v>
      </c>
      <c r="I1464" s="1" t="s">
        <v>1627</v>
      </c>
      <c r="L1464" s="1" t="s">
        <v>43</v>
      </c>
      <c r="M1464" s="1">
        <v>1100</v>
      </c>
      <c r="AG1464" s="1">
        <v>0</v>
      </c>
      <c r="AH1464" s="2">
        <v>45281</v>
      </c>
      <c r="AI1464" s="2">
        <v>45291</v>
      </c>
      <c r="AJ1464" s="2">
        <v>45281</v>
      </c>
    </row>
    <row r="1465" spans="1:36">
      <c r="A1465" s="1" t="str">
        <f>"Z353CEBDC7"</f>
        <v>Z353CEBDC7</v>
      </c>
      <c r="B1465" s="1" t="str">
        <f t="shared" si="29"/>
        <v>02406911202</v>
      </c>
      <c r="C1465" s="1" t="s">
        <v>13</v>
      </c>
      <c r="D1465" s="1" t="s">
        <v>186</v>
      </c>
      <c r="E1465" s="1" t="s">
        <v>1628</v>
      </c>
      <c r="F1465" s="1" t="s">
        <v>158</v>
      </c>
      <c r="G1465" s="1" t="str">
        <f>"01067490050"</f>
        <v>01067490050</v>
      </c>
      <c r="I1465" s="1" t="s">
        <v>211</v>
      </c>
      <c r="L1465" s="1" t="s">
        <v>43</v>
      </c>
      <c r="M1465" s="1">
        <v>39878.89</v>
      </c>
      <c r="AG1465" s="1">
        <v>0</v>
      </c>
      <c r="AH1465" s="2">
        <v>45223</v>
      </c>
      <c r="AI1465" s="2">
        <v>45657</v>
      </c>
      <c r="AJ1465" s="2">
        <v>45223</v>
      </c>
    </row>
    <row r="1466" spans="1:36">
      <c r="A1466" s="1" t="str">
        <f>"Z353D3489D"</f>
        <v>Z353D3489D</v>
      </c>
      <c r="B1466" s="1" t="str">
        <f t="shared" si="29"/>
        <v>02406911202</v>
      </c>
      <c r="C1466" s="1" t="s">
        <v>13</v>
      </c>
      <c r="D1466" s="1" t="s">
        <v>177</v>
      </c>
      <c r="E1466" s="1" t="s">
        <v>1629</v>
      </c>
      <c r="F1466" s="1" t="s">
        <v>158</v>
      </c>
      <c r="G1466" s="1" t="str">
        <f>"80016010367"</f>
        <v>80016010367</v>
      </c>
      <c r="I1466" s="1" t="s">
        <v>1630</v>
      </c>
      <c r="L1466" s="1" t="s">
        <v>43</v>
      </c>
      <c r="M1466" s="1">
        <v>45000</v>
      </c>
      <c r="AG1466" s="1">
        <v>0</v>
      </c>
      <c r="AH1466" s="2">
        <v>45231</v>
      </c>
      <c r="AI1466" s="2">
        <v>45961</v>
      </c>
      <c r="AJ1466" s="2">
        <v>45231</v>
      </c>
    </row>
    <row r="1467" spans="1:36">
      <c r="A1467" s="1" t="str">
        <f>"Z353D4BD31"</f>
        <v>Z353D4BD31</v>
      </c>
      <c r="B1467" s="1" t="str">
        <f t="shared" si="29"/>
        <v>02406911202</v>
      </c>
      <c r="C1467" s="1" t="s">
        <v>13</v>
      </c>
      <c r="D1467" s="1" t="s">
        <v>186</v>
      </c>
      <c r="E1467" s="1" t="s">
        <v>1631</v>
      </c>
      <c r="F1467" s="1" t="s">
        <v>158</v>
      </c>
      <c r="G1467" s="1" t="str">
        <f>"11160660152"</f>
        <v>11160660152</v>
      </c>
      <c r="I1467" s="1" t="s">
        <v>457</v>
      </c>
      <c r="L1467" s="1" t="s">
        <v>43</v>
      </c>
      <c r="M1467" s="1">
        <v>35145.449999999997</v>
      </c>
      <c r="AG1467" s="1">
        <v>0</v>
      </c>
      <c r="AH1467" s="2">
        <v>45251</v>
      </c>
      <c r="AI1467" s="2">
        <v>45748</v>
      </c>
      <c r="AJ1467" s="2">
        <v>45251</v>
      </c>
    </row>
    <row r="1468" spans="1:36">
      <c r="A1468" s="1" t="str">
        <f>"Z353DAA02C"</f>
        <v>Z353DAA02C</v>
      </c>
      <c r="B1468" s="1" t="str">
        <f t="shared" si="29"/>
        <v>02406911202</v>
      </c>
      <c r="C1468" s="1" t="s">
        <v>13</v>
      </c>
      <c r="D1468" s="1" t="s">
        <v>180</v>
      </c>
      <c r="E1468" s="1" t="s">
        <v>279</v>
      </c>
      <c r="F1468" s="1" t="s">
        <v>158</v>
      </c>
      <c r="G1468" s="1" t="str">
        <f>"02173800281"</f>
        <v>02173800281</v>
      </c>
      <c r="I1468" s="1" t="s">
        <v>1632</v>
      </c>
      <c r="L1468" s="1" t="s">
        <v>43</v>
      </c>
      <c r="M1468" s="1">
        <v>6000</v>
      </c>
      <c r="AG1468" s="1">
        <v>0</v>
      </c>
      <c r="AH1468" s="2">
        <v>45267</v>
      </c>
      <c r="AI1468" s="2">
        <v>45657</v>
      </c>
      <c r="AJ1468" s="2">
        <v>45267</v>
      </c>
    </row>
    <row r="1469" spans="1:36">
      <c r="A1469" s="1" t="str">
        <f>"Z363CB2759"</f>
        <v>Z363CB2759</v>
      </c>
      <c r="B1469" s="1" t="str">
        <f t="shared" si="29"/>
        <v>02406911202</v>
      </c>
      <c r="C1469" s="1" t="s">
        <v>13</v>
      </c>
      <c r="D1469" s="1" t="s">
        <v>164</v>
      </c>
      <c r="E1469" s="1" t="s">
        <v>1633</v>
      </c>
      <c r="F1469" s="1" t="s">
        <v>39</v>
      </c>
      <c r="G1469" s="1" t="str">
        <f>"02491851206"</f>
        <v>02491851206</v>
      </c>
      <c r="I1469" s="1" t="s">
        <v>639</v>
      </c>
      <c r="L1469" s="1" t="s">
        <v>43</v>
      </c>
      <c r="M1469" s="1">
        <v>369</v>
      </c>
      <c r="AG1469" s="1">
        <v>369</v>
      </c>
      <c r="AH1469" s="2">
        <v>45202</v>
      </c>
      <c r="AI1469" s="2">
        <v>45291</v>
      </c>
      <c r="AJ1469" s="2">
        <v>45202</v>
      </c>
    </row>
    <row r="1470" spans="1:36">
      <c r="A1470" s="1" t="str">
        <f>"Z363CB2759"</f>
        <v>Z363CB2759</v>
      </c>
      <c r="B1470" s="1" t="str">
        <f t="shared" si="29"/>
        <v>02406911202</v>
      </c>
      <c r="C1470" s="1" t="s">
        <v>13</v>
      </c>
      <c r="D1470" s="1" t="s">
        <v>164</v>
      </c>
      <c r="E1470" s="1" t="s">
        <v>1633</v>
      </c>
      <c r="F1470" s="1" t="s">
        <v>39</v>
      </c>
      <c r="G1470" s="1" t="str">
        <f>"02138390360"</f>
        <v>02138390360</v>
      </c>
      <c r="I1470" s="1" t="s">
        <v>839</v>
      </c>
      <c r="L1470" s="1" t="s">
        <v>100</v>
      </c>
      <c r="AJ1470" s="2">
        <v>45202</v>
      </c>
    </row>
    <row r="1471" spans="1:36">
      <c r="A1471" s="1" t="str">
        <f>"Z363CD00EA"</f>
        <v>Z363CD00EA</v>
      </c>
      <c r="B1471" s="1" t="str">
        <f t="shared" si="29"/>
        <v>02406911202</v>
      </c>
      <c r="C1471" s="1" t="s">
        <v>13</v>
      </c>
      <c r="D1471" s="1" t="s">
        <v>180</v>
      </c>
      <c r="E1471" s="1" t="s">
        <v>279</v>
      </c>
      <c r="F1471" s="1" t="s">
        <v>158</v>
      </c>
      <c r="G1471" s="1" t="str">
        <f>"13209130155"</f>
        <v>13209130155</v>
      </c>
      <c r="I1471" s="1" t="s">
        <v>293</v>
      </c>
      <c r="L1471" s="1" t="s">
        <v>43</v>
      </c>
      <c r="M1471" s="1">
        <v>6000</v>
      </c>
      <c r="AG1471" s="1">
        <v>1158.07</v>
      </c>
      <c r="AH1471" s="2">
        <v>45210</v>
      </c>
      <c r="AI1471" s="2">
        <v>45291</v>
      </c>
      <c r="AJ1471" s="2">
        <v>45210</v>
      </c>
    </row>
    <row r="1472" spans="1:36">
      <c r="A1472" s="1" t="str">
        <f>"Z363CDF412"</f>
        <v>Z363CDF412</v>
      </c>
      <c r="B1472" s="1" t="str">
        <f t="shared" si="29"/>
        <v>02406911202</v>
      </c>
      <c r="C1472" s="1" t="s">
        <v>13</v>
      </c>
      <c r="D1472" s="1" t="s">
        <v>180</v>
      </c>
      <c r="E1472" s="1" t="s">
        <v>281</v>
      </c>
      <c r="F1472" s="1" t="s">
        <v>158</v>
      </c>
      <c r="G1472" s="1" t="str">
        <f>"12572900152"</f>
        <v>12572900152</v>
      </c>
      <c r="I1472" s="1" t="s">
        <v>335</v>
      </c>
      <c r="L1472" s="1" t="s">
        <v>43</v>
      </c>
      <c r="M1472" s="1">
        <v>6000</v>
      </c>
      <c r="AG1472" s="1">
        <v>6777.98</v>
      </c>
      <c r="AH1472" s="2">
        <v>45216</v>
      </c>
      <c r="AI1472" s="2">
        <v>45291</v>
      </c>
      <c r="AJ1472" s="2">
        <v>45216</v>
      </c>
    </row>
    <row r="1473" spans="1:36">
      <c r="A1473" s="1" t="str">
        <f>"Z363D1CA80"</f>
        <v>Z363D1CA80</v>
      </c>
      <c r="B1473" s="1" t="str">
        <f t="shared" si="29"/>
        <v>02406911202</v>
      </c>
      <c r="C1473" s="1" t="s">
        <v>13</v>
      </c>
      <c r="D1473" s="1" t="s">
        <v>180</v>
      </c>
      <c r="E1473" s="1" t="s">
        <v>296</v>
      </c>
      <c r="F1473" s="1" t="s">
        <v>158</v>
      </c>
      <c r="G1473" s="1" t="str">
        <f>"07862510018"</f>
        <v>07862510018</v>
      </c>
      <c r="I1473" s="1" t="s">
        <v>330</v>
      </c>
      <c r="L1473" s="1" t="s">
        <v>43</v>
      </c>
      <c r="M1473" s="1">
        <v>6000</v>
      </c>
      <c r="AG1473" s="1">
        <v>0</v>
      </c>
      <c r="AH1473" s="2">
        <v>45233</v>
      </c>
      <c r="AI1473" s="2">
        <v>45291</v>
      </c>
      <c r="AJ1473" s="2">
        <v>45233</v>
      </c>
    </row>
    <row r="1474" spans="1:36">
      <c r="A1474" s="1" t="str">
        <f>"Z373CA55CC"</f>
        <v>Z373CA55CC</v>
      </c>
      <c r="B1474" s="1" t="str">
        <f t="shared" ref="B1474:B1537" si="30">"02406911202"</f>
        <v>02406911202</v>
      </c>
      <c r="C1474" s="1" t="s">
        <v>13</v>
      </c>
      <c r="D1474" s="1" t="s">
        <v>180</v>
      </c>
      <c r="E1474" s="1" t="s">
        <v>244</v>
      </c>
      <c r="F1474" s="1" t="s">
        <v>158</v>
      </c>
      <c r="G1474" s="1" t="str">
        <f>"06068041000"</f>
        <v>06068041000</v>
      </c>
      <c r="I1474" s="1" t="s">
        <v>468</v>
      </c>
      <c r="L1474" s="1" t="s">
        <v>43</v>
      </c>
      <c r="M1474" s="1">
        <v>6000</v>
      </c>
      <c r="AG1474" s="1">
        <v>5300</v>
      </c>
      <c r="AH1474" s="2">
        <v>45217</v>
      </c>
      <c r="AI1474" s="2">
        <v>45291</v>
      </c>
      <c r="AJ1474" s="2">
        <v>45217</v>
      </c>
    </row>
    <row r="1475" spans="1:36">
      <c r="A1475" s="1" t="str">
        <f>"Z373D3482C"</f>
        <v>Z373D3482C</v>
      </c>
      <c r="B1475" s="1" t="str">
        <f t="shared" si="30"/>
        <v>02406911202</v>
      </c>
      <c r="C1475" s="1" t="s">
        <v>13</v>
      </c>
      <c r="D1475" s="1" t="s">
        <v>177</v>
      </c>
      <c r="E1475" s="1" t="s">
        <v>1634</v>
      </c>
      <c r="F1475" s="1" t="s">
        <v>158</v>
      </c>
      <c r="G1475" s="1" t="str">
        <f>"01949270407"</f>
        <v>01949270407</v>
      </c>
      <c r="I1475" s="1" t="s">
        <v>1635</v>
      </c>
      <c r="L1475" s="1" t="s">
        <v>43</v>
      </c>
      <c r="M1475" s="1">
        <v>40000</v>
      </c>
      <c r="AG1475" s="1">
        <v>0</v>
      </c>
      <c r="AH1475" s="2">
        <v>45231</v>
      </c>
      <c r="AI1475" s="2">
        <v>45961</v>
      </c>
      <c r="AJ1475" s="2">
        <v>45231</v>
      </c>
    </row>
    <row r="1476" spans="1:36">
      <c r="A1476" s="1" t="str">
        <f>"Z373D6588C"</f>
        <v>Z373D6588C</v>
      </c>
      <c r="B1476" s="1" t="str">
        <f t="shared" si="30"/>
        <v>02406911202</v>
      </c>
      <c r="C1476" s="1" t="s">
        <v>13</v>
      </c>
      <c r="D1476" s="1" t="s">
        <v>264</v>
      </c>
      <c r="E1476" s="1" t="s">
        <v>1636</v>
      </c>
      <c r="F1476" s="1" t="s">
        <v>158</v>
      </c>
      <c r="G1476" s="1" t="str">
        <f>"01011250105"</f>
        <v>01011250105</v>
      </c>
      <c r="I1476" s="1" t="s">
        <v>1637</v>
      </c>
      <c r="L1476" s="1" t="s">
        <v>43</v>
      </c>
      <c r="M1476" s="1">
        <v>6500</v>
      </c>
      <c r="AG1476" s="1">
        <v>0</v>
      </c>
      <c r="AH1476" s="2">
        <v>45252</v>
      </c>
      <c r="AI1476" s="2">
        <v>45253</v>
      </c>
      <c r="AJ1476" s="2">
        <v>45252</v>
      </c>
    </row>
    <row r="1477" spans="1:36">
      <c r="A1477" s="1" t="str">
        <f>"Z373D96FC9"</f>
        <v>Z373D96FC9</v>
      </c>
      <c r="B1477" s="1" t="str">
        <f t="shared" si="30"/>
        <v>02406911202</v>
      </c>
      <c r="C1477" s="1" t="s">
        <v>13</v>
      </c>
      <c r="D1477" s="1" t="s">
        <v>180</v>
      </c>
      <c r="E1477" s="1" t="s">
        <v>281</v>
      </c>
      <c r="F1477" s="1" t="s">
        <v>158</v>
      </c>
      <c r="G1477" s="1" t="str">
        <f>"07747160153"</f>
        <v>07747160153</v>
      </c>
      <c r="I1477" s="1" t="s">
        <v>446</v>
      </c>
      <c r="L1477" s="1" t="s">
        <v>43</v>
      </c>
      <c r="M1477" s="1">
        <v>6000</v>
      </c>
      <c r="AG1477" s="1">
        <v>0</v>
      </c>
      <c r="AH1477" s="2">
        <v>45264</v>
      </c>
      <c r="AI1477" s="2">
        <v>45657</v>
      </c>
      <c r="AJ1477" s="2">
        <v>45264</v>
      </c>
    </row>
    <row r="1478" spans="1:36">
      <c r="A1478" s="1" t="str">
        <f>"Z383D45903"</f>
        <v>Z383D45903</v>
      </c>
      <c r="B1478" s="1" t="str">
        <f t="shared" si="30"/>
        <v>02406911202</v>
      </c>
      <c r="C1478" s="1" t="s">
        <v>13</v>
      </c>
      <c r="D1478" s="1" t="s">
        <v>177</v>
      </c>
      <c r="E1478" s="1" t="s">
        <v>1638</v>
      </c>
      <c r="F1478" s="1" t="s">
        <v>158</v>
      </c>
      <c r="G1478" s="1" t="str">
        <f>"92026020377"</f>
        <v>92026020377</v>
      </c>
      <c r="I1478" s="1" t="s">
        <v>1639</v>
      </c>
      <c r="L1478" s="1" t="s">
        <v>43</v>
      </c>
      <c r="M1478" s="1">
        <v>1900</v>
      </c>
      <c r="AG1478" s="1">
        <v>0</v>
      </c>
      <c r="AH1478" s="2">
        <v>45139</v>
      </c>
      <c r="AI1478" s="2">
        <v>45291</v>
      </c>
      <c r="AJ1478" s="2">
        <v>45139</v>
      </c>
    </row>
    <row r="1479" spans="1:36">
      <c r="A1479" s="1" t="str">
        <f>"Z383D6F0CA"</f>
        <v>Z383D6F0CA</v>
      </c>
      <c r="B1479" s="1" t="str">
        <f t="shared" si="30"/>
        <v>02406911202</v>
      </c>
      <c r="C1479" s="1" t="s">
        <v>13</v>
      </c>
      <c r="D1479" s="1" t="s">
        <v>180</v>
      </c>
      <c r="E1479" s="1" t="s">
        <v>281</v>
      </c>
      <c r="F1479" s="1" t="s">
        <v>158</v>
      </c>
      <c r="G1479" s="1" t="str">
        <f>"00972790109"</f>
        <v>00972790109</v>
      </c>
      <c r="I1479" s="1" t="s">
        <v>934</v>
      </c>
      <c r="L1479" s="1" t="s">
        <v>43</v>
      </c>
      <c r="M1479" s="1">
        <v>6000</v>
      </c>
      <c r="AG1479" s="1">
        <v>0</v>
      </c>
      <c r="AH1479" s="2">
        <v>45254</v>
      </c>
      <c r="AI1479" s="2">
        <v>45291</v>
      </c>
      <c r="AJ1479" s="2">
        <v>45254</v>
      </c>
    </row>
    <row r="1480" spans="1:36">
      <c r="A1480" s="1" t="str">
        <f>"Z383D75D9F"</f>
        <v>Z383D75D9F</v>
      </c>
      <c r="B1480" s="1" t="str">
        <f t="shared" si="30"/>
        <v>02406911202</v>
      </c>
      <c r="C1480" s="1" t="s">
        <v>13</v>
      </c>
      <c r="D1480" s="1" t="s">
        <v>177</v>
      </c>
      <c r="E1480" s="1" t="s">
        <v>1640</v>
      </c>
      <c r="F1480" s="1" t="s">
        <v>158</v>
      </c>
      <c r="G1480" s="1" t="str">
        <f>"02049631209"</f>
        <v>02049631209</v>
      </c>
      <c r="I1480" s="1" t="s">
        <v>1641</v>
      </c>
      <c r="L1480" s="1" t="s">
        <v>43</v>
      </c>
      <c r="M1480" s="1">
        <v>18000</v>
      </c>
      <c r="AG1480" s="1">
        <v>0</v>
      </c>
      <c r="AH1480" s="2">
        <v>45108</v>
      </c>
      <c r="AI1480" s="2">
        <v>45473</v>
      </c>
      <c r="AJ1480" s="2">
        <v>45108</v>
      </c>
    </row>
    <row r="1481" spans="1:36">
      <c r="A1481" s="1" t="str">
        <f>"Z393C87BCA"</f>
        <v>Z393C87BCA</v>
      </c>
      <c r="B1481" s="1" t="str">
        <f t="shared" si="30"/>
        <v>02406911202</v>
      </c>
      <c r="C1481" s="1" t="s">
        <v>13</v>
      </c>
      <c r="D1481" s="1" t="s">
        <v>186</v>
      </c>
      <c r="E1481" s="1" t="s">
        <v>1642</v>
      </c>
      <c r="F1481" s="1" t="s">
        <v>158</v>
      </c>
      <c r="G1481" s="1" t="str">
        <f>"04270270400"</f>
        <v>04270270400</v>
      </c>
      <c r="I1481" s="1" t="s">
        <v>808</v>
      </c>
      <c r="L1481" s="1" t="s">
        <v>43</v>
      </c>
      <c r="M1481" s="1">
        <v>34150</v>
      </c>
      <c r="AG1481" s="1">
        <v>5256.5</v>
      </c>
      <c r="AH1481" s="2">
        <v>45201</v>
      </c>
      <c r="AI1481" s="2">
        <v>45322</v>
      </c>
      <c r="AJ1481" s="2">
        <v>45201</v>
      </c>
    </row>
    <row r="1482" spans="1:36">
      <c r="A1482" s="1" t="str">
        <f>"Z393D32A51"</f>
        <v>Z393D32A51</v>
      </c>
      <c r="B1482" s="1" t="str">
        <f t="shared" si="30"/>
        <v>02406911202</v>
      </c>
      <c r="C1482" s="1" t="s">
        <v>13</v>
      </c>
      <c r="D1482" s="1" t="s">
        <v>180</v>
      </c>
      <c r="E1482" s="1" t="s">
        <v>279</v>
      </c>
      <c r="F1482" s="1" t="s">
        <v>158</v>
      </c>
      <c r="G1482" s="1" t="str">
        <f>"10181220152"</f>
        <v>10181220152</v>
      </c>
      <c r="I1482" s="1" t="s">
        <v>301</v>
      </c>
      <c r="L1482" s="1" t="s">
        <v>43</v>
      </c>
      <c r="M1482" s="1">
        <v>5000</v>
      </c>
      <c r="AG1482" s="1">
        <v>0</v>
      </c>
      <c r="AH1482" s="2">
        <v>45239</v>
      </c>
      <c r="AI1482" s="2">
        <v>45657</v>
      </c>
      <c r="AJ1482" s="2">
        <v>45239</v>
      </c>
    </row>
    <row r="1483" spans="1:36">
      <c r="A1483" s="1" t="str">
        <f>"Z393D5FAF6"</f>
        <v>Z393D5FAF6</v>
      </c>
      <c r="B1483" s="1" t="str">
        <f t="shared" si="30"/>
        <v>02406911202</v>
      </c>
      <c r="C1483" s="1" t="s">
        <v>13</v>
      </c>
      <c r="D1483" s="1" t="s">
        <v>186</v>
      </c>
      <c r="E1483" s="1" t="s">
        <v>1643</v>
      </c>
      <c r="F1483" s="1" t="s">
        <v>158</v>
      </c>
      <c r="G1483" s="1" t="str">
        <f>"06734220962"</f>
        <v>06734220962</v>
      </c>
      <c r="I1483" s="1" t="s">
        <v>1644</v>
      </c>
      <c r="L1483" s="1" t="s">
        <v>43</v>
      </c>
      <c r="M1483" s="1">
        <v>1500</v>
      </c>
      <c r="AG1483" s="1">
        <v>0</v>
      </c>
      <c r="AH1483" s="2">
        <v>45251</v>
      </c>
      <c r="AI1483" s="2">
        <v>45322</v>
      </c>
      <c r="AJ1483" s="2">
        <v>45251</v>
      </c>
    </row>
    <row r="1484" spans="1:36">
      <c r="A1484" s="1" t="str">
        <f>"Z393D637C0"</f>
        <v>Z393D637C0</v>
      </c>
      <c r="B1484" s="1" t="str">
        <f t="shared" si="30"/>
        <v>02406911202</v>
      </c>
      <c r="C1484" s="1" t="s">
        <v>13</v>
      </c>
      <c r="D1484" s="1" t="s">
        <v>186</v>
      </c>
      <c r="E1484" s="1" t="s">
        <v>1645</v>
      </c>
      <c r="F1484" s="1" t="s">
        <v>158</v>
      </c>
      <c r="G1484" s="1" t="str">
        <f>"94294570489"</f>
        <v>94294570489</v>
      </c>
      <c r="I1484" s="1" t="s">
        <v>1646</v>
      </c>
      <c r="L1484" s="1" t="s">
        <v>43</v>
      </c>
      <c r="M1484" s="1">
        <v>4999</v>
      </c>
      <c r="AG1484" s="1">
        <v>0</v>
      </c>
      <c r="AH1484" s="2">
        <v>45252</v>
      </c>
      <c r="AI1484" s="2">
        <v>45382</v>
      </c>
      <c r="AJ1484" s="2">
        <v>45252</v>
      </c>
    </row>
    <row r="1485" spans="1:36">
      <c r="A1485" s="1" t="str">
        <f>"Z393DA28A7"</f>
        <v>Z393DA28A7</v>
      </c>
      <c r="B1485" s="1" t="str">
        <f t="shared" si="30"/>
        <v>02406911202</v>
      </c>
      <c r="C1485" s="1" t="s">
        <v>13</v>
      </c>
      <c r="D1485" s="1" t="s">
        <v>164</v>
      </c>
      <c r="E1485" s="1" t="s">
        <v>1647</v>
      </c>
      <c r="F1485" s="1" t="s">
        <v>158</v>
      </c>
      <c r="G1485" s="1" t="str">
        <f>"02908570043"</f>
        <v>02908570043</v>
      </c>
      <c r="I1485" s="1" t="s">
        <v>1648</v>
      </c>
      <c r="L1485" s="1" t="s">
        <v>43</v>
      </c>
      <c r="M1485" s="1">
        <v>1780</v>
      </c>
      <c r="AG1485" s="1">
        <v>0</v>
      </c>
      <c r="AH1485" s="2">
        <v>45266</v>
      </c>
      <c r="AI1485" s="2">
        <v>45291</v>
      </c>
      <c r="AJ1485" s="2">
        <v>45266</v>
      </c>
    </row>
    <row r="1486" spans="1:36">
      <c r="A1486" s="1" t="str">
        <f>"Z393DA2B98"</f>
        <v>Z393DA2B98</v>
      </c>
      <c r="B1486" s="1" t="str">
        <f t="shared" si="30"/>
        <v>02406911202</v>
      </c>
      <c r="C1486" s="1" t="s">
        <v>13</v>
      </c>
      <c r="D1486" s="1" t="s">
        <v>180</v>
      </c>
      <c r="E1486" s="1" t="s">
        <v>279</v>
      </c>
      <c r="F1486" s="1" t="s">
        <v>158</v>
      </c>
      <c r="G1486" s="1" t="str">
        <f>"05848611009"</f>
        <v>05848611009</v>
      </c>
      <c r="I1486" s="1" t="s">
        <v>1509</v>
      </c>
      <c r="L1486" s="1" t="s">
        <v>43</v>
      </c>
      <c r="M1486" s="1">
        <v>6</v>
      </c>
      <c r="AG1486" s="1">
        <v>0</v>
      </c>
      <c r="AH1486" s="2">
        <v>45266</v>
      </c>
      <c r="AI1486" s="2">
        <v>45291</v>
      </c>
      <c r="AJ1486" s="2">
        <v>45266</v>
      </c>
    </row>
    <row r="1487" spans="1:36">
      <c r="A1487" s="1" t="str">
        <f>"Z393DB8E86"</f>
        <v>Z393DB8E86</v>
      </c>
      <c r="B1487" s="1" t="str">
        <f t="shared" si="30"/>
        <v>02406911202</v>
      </c>
      <c r="C1487" s="1" t="s">
        <v>13</v>
      </c>
      <c r="D1487" s="1" t="s">
        <v>186</v>
      </c>
      <c r="E1487" s="1" t="s">
        <v>1649</v>
      </c>
      <c r="F1487" s="1" t="s">
        <v>158</v>
      </c>
      <c r="G1487" s="1" t="str">
        <f>"00157770363"</f>
        <v>00157770363</v>
      </c>
      <c r="I1487" s="1" t="s">
        <v>1650</v>
      </c>
      <c r="L1487" s="1" t="s">
        <v>43</v>
      </c>
      <c r="M1487" s="1">
        <v>4999</v>
      </c>
      <c r="AG1487" s="1">
        <v>0</v>
      </c>
      <c r="AH1487" s="2">
        <v>45272</v>
      </c>
      <c r="AI1487" s="2">
        <v>46022</v>
      </c>
      <c r="AJ1487" s="2">
        <v>45272</v>
      </c>
    </row>
    <row r="1488" spans="1:36">
      <c r="A1488" s="1" t="str">
        <f>"Z3A3D0DD53"</f>
        <v>Z3A3D0DD53</v>
      </c>
      <c r="B1488" s="1" t="str">
        <f t="shared" si="30"/>
        <v>02406911202</v>
      </c>
      <c r="C1488" s="1" t="s">
        <v>13</v>
      </c>
      <c r="D1488" s="1" t="s">
        <v>180</v>
      </c>
      <c r="E1488" s="1" t="s">
        <v>315</v>
      </c>
      <c r="F1488" s="1" t="s">
        <v>158</v>
      </c>
      <c r="G1488" s="1" t="str">
        <f>"11667890153"</f>
        <v>11667890153</v>
      </c>
      <c r="I1488" s="1" t="s">
        <v>224</v>
      </c>
      <c r="L1488" s="1" t="s">
        <v>43</v>
      </c>
      <c r="M1488" s="1">
        <v>5000</v>
      </c>
      <c r="AG1488" s="1">
        <v>0</v>
      </c>
      <c r="AH1488" s="2">
        <v>45229</v>
      </c>
      <c r="AI1488" s="2">
        <v>45291</v>
      </c>
      <c r="AJ1488" s="2">
        <v>45229</v>
      </c>
    </row>
    <row r="1489" spans="1:36">
      <c r="A1489" s="1" t="str">
        <f>"Z3A3D14155"</f>
        <v>Z3A3D14155</v>
      </c>
      <c r="B1489" s="1" t="str">
        <f t="shared" si="30"/>
        <v>02406911202</v>
      </c>
      <c r="C1489" s="1" t="s">
        <v>13</v>
      </c>
      <c r="D1489" s="1" t="s">
        <v>177</v>
      </c>
      <c r="E1489" s="1" t="s">
        <v>1651</v>
      </c>
      <c r="F1489" s="1" t="s">
        <v>158</v>
      </c>
      <c r="G1489" s="1" t="str">
        <f>"00385470190"</f>
        <v>00385470190</v>
      </c>
      <c r="I1489" s="1" t="s">
        <v>1652</v>
      </c>
      <c r="L1489" s="1" t="s">
        <v>43</v>
      </c>
      <c r="M1489" s="1">
        <v>5434.42</v>
      </c>
      <c r="AG1489" s="1">
        <v>0</v>
      </c>
      <c r="AH1489" s="2">
        <v>45230</v>
      </c>
      <c r="AI1489" s="2">
        <v>45291</v>
      </c>
      <c r="AJ1489" s="2">
        <v>45230</v>
      </c>
    </row>
    <row r="1490" spans="1:36">
      <c r="A1490" s="1" t="str">
        <f>"Z3A3D7A0D5"</f>
        <v>Z3A3D7A0D5</v>
      </c>
      <c r="B1490" s="1" t="str">
        <f t="shared" si="30"/>
        <v>02406911202</v>
      </c>
      <c r="C1490" s="1" t="s">
        <v>13</v>
      </c>
      <c r="D1490" s="1" t="s">
        <v>180</v>
      </c>
      <c r="E1490" s="1" t="s">
        <v>281</v>
      </c>
      <c r="F1490" s="1" t="s">
        <v>158</v>
      </c>
      <c r="G1490" s="1" t="str">
        <f>"08082461008"</f>
        <v>08082461008</v>
      </c>
      <c r="I1490" s="1" t="s">
        <v>88</v>
      </c>
      <c r="L1490" s="1" t="s">
        <v>43</v>
      </c>
      <c r="M1490" s="1">
        <v>6000</v>
      </c>
      <c r="AG1490" s="1">
        <v>0</v>
      </c>
      <c r="AH1490" s="2">
        <v>45260</v>
      </c>
      <c r="AI1490" s="2">
        <v>45291</v>
      </c>
      <c r="AJ1490" s="2">
        <v>45260</v>
      </c>
    </row>
    <row r="1491" spans="1:36">
      <c r="A1491" s="1" t="str">
        <f>"Z3A3DFFF28"</f>
        <v>Z3A3DFFF28</v>
      </c>
      <c r="B1491" s="1" t="str">
        <f t="shared" si="30"/>
        <v>02406911202</v>
      </c>
      <c r="C1491" s="1" t="s">
        <v>13</v>
      </c>
      <c r="D1491" s="1" t="s">
        <v>264</v>
      </c>
      <c r="E1491" s="1" t="s">
        <v>1653</v>
      </c>
      <c r="F1491" s="1" t="s">
        <v>158</v>
      </c>
      <c r="G1491" s="1" t="str">
        <f>"08864080158"</f>
        <v>08864080158</v>
      </c>
      <c r="I1491" s="1" t="s">
        <v>438</v>
      </c>
      <c r="L1491" s="1" t="s">
        <v>43</v>
      </c>
      <c r="M1491" s="1">
        <v>4869.1499999999996</v>
      </c>
      <c r="AG1491" s="1">
        <v>0</v>
      </c>
      <c r="AH1491" s="2">
        <v>45288</v>
      </c>
      <c r="AI1491" s="2">
        <v>45288</v>
      </c>
      <c r="AJ1491" s="2">
        <v>45288</v>
      </c>
    </row>
    <row r="1492" spans="1:36">
      <c r="A1492" s="1" t="str">
        <f>"Z3B3D3C1D9"</f>
        <v>Z3B3D3C1D9</v>
      </c>
      <c r="B1492" s="1" t="str">
        <f t="shared" si="30"/>
        <v>02406911202</v>
      </c>
      <c r="C1492" s="1" t="s">
        <v>13</v>
      </c>
      <c r="D1492" s="1" t="s">
        <v>180</v>
      </c>
      <c r="E1492" s="1" t="s">
        <v>281</v>
      </c>
      <c r="F1492" s="1" t="s">
        <v>158</v>
      </c>
      <c r="G1492" s="1" t="str">
        <f>"12572900152"</f>
        <v>12572900152</v>
      </c>
      <c r="I1492" s="1" t="s">
        <v>335</v>
      </c>
      <c r="L1492" s="1" t="s">
        <v>43</v>
      </c>
      <c r="M1492" s="1">
        <v>6000</v>
      </c>
      <c r="AG1492" s="1">
        <v>0</v>
      </c>
      <c r="AH1492" s="2">
        <v>45243</v>
      </c>
      <c r="AI1492" s="2">
        <v>45291</v>
      </c>
      <c r="AJ1492" s="2">
        <v>45243</v>
      </c>
    </row>
    <row r="1493" spans="1:36">
      <c r="A1493" s="1" t="str">
        <f>"Z3C3DBD00B"</f>
        <v>Z3C3DBD00B</v>
      </c>
      <c r="B1493" s="1" t="str">
        <f t="shared" si="30"/>
        <v>02406911202</v>
      </c>
      <c r="C1493" s="1" t="s">
        <v>13</v>
      </c>
      <c r="D1493" s="1" t="s">
        <v>180</v>
      </c>
      <c r="E1493" s="1" t="s">
        <v>281</v>
      </c>
      <c r="F1493" s="1" t="s">
        <v>158</v>
      </c>
      <c r="G1493" s="1" t="str">
        <f>"08082461008"</f>
        <v>08082461008</v>
      </c>
      <c r="I1493" s="1" t="s">
        <v>88</v>
      </c>
      <c r="L1493" s="1" t="s">
        <v>43</v>
      </c>
      <c r="M1493" s="1">
        <v>6000</v>
      </c>
      <c r="AG1493" s="1">
        <v>0</v>
      </c>
      <c r="AH1493" s="2">
        <v>45289</v>
      </c>
      <c r="AI1493" s="2">
        <v>45322</v>
      </c>
      <c r="AJ1493" s="2">
        <v>45289</v>
      </c>
    </row>
    <row r="1494" spans="1:36">
      <c r="A1494" s="1" t="str">
        <f>"Z3C3DC8A55"</f>
        <v>Z3C3DC8A55</v>
      </c>
      <c r="B1494" s="1" t="str">
        <f t="shared" si="30"/>
        <v>02406911202</v>
      </c>
      <c r="C1494" s="1" t="s">
        <v>13</v>
      </c>
      <c r="D1494" s="1" t="s">
        <v>180</v>
      </c>
      <c r="E1494" s="1" t="s">
        <v>279</v>
      </c>
      <c r="F1494" s="1" t="s">
        <v>158</v>
      </c>
      <c r="G1494" s="1" t="str">
        <f>"02640510281"</f>
        <v>02640510281</v>
      </c>
      <c r="I1494" s="1" t="s">
        <v>1654</v>
      </c>
      <c r="L1494" s="1" t="s">
        <v>43</v>
      </c>
      <c r="M1494" s="1">
        <v>5000</v>
      </c>
      <c r="AG1494" s="1">
        <v>0</v>
      </c>
      <c r="AH1494" s="2">
        <v>45274</v>
      </c>
      <c r="AI1494" s="2">
        <v>45291</v>
      </c>
      <c r="AJ1494" s="2">
        <v>45274</v>
      </c>
    </row>
    <row r="1495" spans="1:36">
      <c r="A1495" s="1" t="str">
        <f>"Z3C3DDEF39"</f>
        <v>Z3C3DDEF39</v>
      </c>
      <c r="B1495" s="1" t="str">
        <f t="shared" si="30"/>
        <v>02406911202</v>
      </c>
      <c r="C1495" s="1" t="s">
        <v>13</v>
      </c>
      <c r="D1495" s="1" t="s">
        <v>264</v>
      </c>
      <c r="E1495" s="1" t="s">
        <v>1655</v>
      </c>
      <c r="F1495" s="1" t="s">
        <v>158</v>
      </c>
      <c r="G1495" s="1" t="str">
        <f>"00113440192"</f>
        <v>00113440192</v>
      </c>
      <c r="I1495" s="1" t="s">
        <v>1656</v>
      </c>
      <c r="L1495" s="1" t="s">
        <v>43</v>
      </c>
      <c r="M1495" s="1">
        <v>240</v>
      </c>
      <c r="AG1495" s="1">
        <v>0</v>
      </c>
      <c r="AH1495" s="2">
        <v>45280</v>
      </c>
      <c r="AI1495" s="2">
        <v>45291</v>
      </c>
      <c r="AJ1495" s="2">
        <v>45280</v>
      </c>
    </row>
    <row r="1496" spans="1:36">
      <c r="A1496" s="1" t="str">
        <f>"Z3D3C981AC"</f>
        <v>Z3D3C981AC</v>
      </c>
      <c r="B1496" s="1" t="str">
        <f t="shared" si="30"/>
        <v>02406911202</v>
      </c>
      <c r="C1496" s="1" t="s">
        <v>13</v>
      </c>
      <c r="D1496" s="1" t="s">
        <v>180</v>
      </c>
      <c r="E1496" s="1" t="s">
        <v>279</v>
      </c>
      <c r="F1496" s="1" t="s">
        <v>158</v>
      </c>
      <c r="G1496" s="1" t="str">
        <f>"03680250283"</f>
        <v>03680250283</v>
      </c>
      <c r="I1496" s="1" t="s">
        <v>1319</v>
      </c>
      <c r="L1496" s="1" t="s">
        <v>43</v>
      </c>
      <c r="M1496" s="1">
        <v>5000</v>
      </c>
      <c r="AG1496" s="1">
        <v>2300</v>
      </c>
      <c r="AH1496" s="2">
        <v>45195</v>
      </c>
      <c r="AI1496" s="2">
        <v>45291</v>
      </c>
      <c r="AJ1496" s="2">
        <v>45195</v>
      </c>
    </row>
    <row r="1497" spans="1:36">
      <c r="A1497" s="1" t="str">
        <f>"Z3D3CAC730"</f>
        <v>Z3D3CAC730</v>
      </c>
      <c r="B1497" s="1" t="str">
        <f t="shared" si="30"/>
        <v>02406911202</v>
      </c>
      <c r="C1497" s="1" t="s">
        <v>13</v>
      </c>
      <c r="D1497" s="1" t="s">
        <v>186</v>
      </c>
      <c r="E1497" s="1" t="s">
        <v>1657</v>
      </c>
      <c r="F1497" s="1" t="s">
        <v>158</v>
      </c>
      <c r="G1497" s="1" t="str">
        <f>"00458450012"</f>
        <v>00458450012</v>
      </c>
      <c r="I1497" s="1" t="s">
        <v>1658</v>
      </c>
      <c r="L1497" s="1" t="s">
        <v>43</v>
      </c>
      <c r="M1497" s="1">
        <v>4999</v>
      </c>
      <c r="AG1497" s="1">
        <v>566.4</v>
      </c>
      <c r="AH1497" s="2">
        <v>45201</v>
      </c>
      <c r="AI1497" s="2">
        <v>45657</v>
      </c>
      <c r="AJ1497" s="2">
        <v>45201</v>
      </c>
    </row>
    <row r="1498" spans="1:36">
      <c r="A1498" s="1" t="str">
        <f>"Z3D3D1F2A0"</f>
        <v>Z3D3D1F2A0</v>
      </c>
      <c r="B1498" s="1" t="str">
        <f t="shared" si="30"/>
        <v>02406911202</v>
      </c>
      <c r="C1498" s="1" t="s">
        <v>13</v>
      </c>
      <c r="D1498" s="1" t="s">
        <v>180</v>
      </c>
      <c r="E1498" s="1" t="s">
        <v>279</v>
      </c>
      <c r="F1498" s="1" t="s">
        <v>158</v>
      </c>
      <c r="G1498" s="1" t="str">
        <f>"12785290151"</f>
        <v>12785290151</v>
      </c>
      <c r="I1498" s="1" t="s">
        <v>284</v>
      </c>
      <c r="L1498" s="1" t="s">
        <v>43</v>
      </c>
      <c r="M1498" s="1">
        <v>6000</v>
      </c>
      <c r="AG1498" s="1">
        <v>0</v>
      </c>
      <c r="AH1498" s="2">
        <v>45236</v>
      </c>
      <c r="AI1498" s="2">
        <v>45291</v>
      </c>
      <c r="AJ1498" s="2">
        <v>45236</v>
      </c>
    </row>
    <row r="1499" spans="1:36">
      <c r="A1499" s="1" t="str">
        <f>"Z3D3D81B38"</f>
        <v>Z3D3D81B38</v>
      </c>
      <c r="B1499" s="1" t="str">
        <f t="shared" si="30"/>
        <v>02406911202</v>
      </c>
      <c r="C1499" s="1" t="s">
        <v>13</v>
      </c>
      <c r="D1499" s="1" t="s">
        <v>180</v>
      </c>
      <c r="E1499" s="1" t="s">
        <v>220</v>
      </c>
      <c r="F1499" s="1" t="s">
        <v>158</v>
      </c>
      <c r="G1499" s="1" t="str">
        <f>"11160660152"</f>
        <v>11160660152</v>
      </c>
      <c r="I1499" s="1" t="s">
        <v>457</v>
      </c>
      <c r="L1499" s="1" t="s">
        <v>43</v>
      </c>
      <c r="M1499" s="1">
        <v>6000</v>
      </c>
      <c r="AG1499" s="1">
        <v>0</v>
      </c>
      <c r="AH1499" s="2">
        <v>45264</v>
      </c>
      <c r="AI1499" s="2">
        <v>45657</v>
      </c>
      <c r="AJ1499" s="2">
        <v>45264</v>
      </c>
    </row>
    <row r="1500" spans="1:36">
      <c r="A1500" s="1" t="str">
        <f>"Z3E3CAFF58"</f>
        <v>Z3E3CAFF58</v>
      </c>
      <c r="B1500" s="1" t="str">
        <f t="shared" si="30"/>
        <v>02406911202</v>
      </c>
      <c r="C1500" s="1" t="s">
        <v>13</v>
      </c>
      <c r="D1500" s="1" t="s">
        <v>164</v>
      </c>
      <c r="E1500" s="1" t="s">
        <v>1659</v>
      </c>
      <c r="F1500" s="1" t="s">
        <v>39</v>
      </c>
      <c r="G1500" s="1" t="str">
        <f>"02723670960"</f>
        <v>02723670960</v>
      </c>
      <c r="I1500" s="1" t="s">
        <v>52</v>
      </c>
      <c r="L1500" s="1" t="s">
        <v>43</v>
      </c>
      <c r="M1500" s="1">
        <v>1740</v>
      </c>
      <c r="AG1500" s="1">
        <v>1740</v>
      </c>
      <c r="AH1500" s="2">
        <v>45202</v>
      </c>
      <c r="AI1500" s="2">
        <v>45291</v>
      </c>
      <c r="AJ1500" s="2">
        <v>45202</v>
      </c>
    </row>
    <row r="1501" spans="1:36">
      <c r="A1501" s="1" t="str">
        <f>"Z3E3D5A607"</f>
        <v>Z3E3D5A607</v>
      </c>
      <c r="B1501" s="1" t="str">
        <f t="shared" si="30"/>
        <v>02406911202</v>
      </c>
      <c r="C1501" s="1" t="s">
        <v>13</v>
      </c>
      <c r="D1501" s="1" t="s">
        <v>164</v>
      </c>
      <c r="E1501" s="1" t="s">
        <v>1660</v>
      </c>
      <c r="F1501" s="1" t="s">
        <v>39</v>
      </c>
      <c r="G1501" s="1" t="str">
        <f>"02908570043"</f>
        <v>02908570043</v>
      </c>
      <c r="I1501" s="1" t="s">
        <v>1648</v>
      </c>
      <c r="L1501" s="1" t="s">
        <v>43</v>
      </c>
      <c r="M1501" s="1">
        <v>4210</v>
      </c>
      <c r="AG1501" s="1">
        <v>0</v>
      </c>
      <c r="AH1501" s="2">
        <v>45250</v>
      </c>
      <c r="AI1501" s="2">
        <v>45291</v>
      </c>
      <c r="AJ1501" s="2">
        <v>45250</v>
      </c>
    </row>
    <row r="1502" spans="1:36">
      <c r="A1502" s="1" t="str">
        <f>"Z3F3C92EDF"</f>
        <v>Z3F3C92EDF</v>
      </c>
      <c r="B1502" s="1" t="str">
        <f t="shared" si="30"/>
        <v>02406911202</v>
      </c>
      <c r="C1502" s="1" t="s">
        <v>13</v>
      </c>
      <c r="D1502" s="1" t="s">
        <v>164</v>
      </c>
      <c r="E1502" s="1" t="s">
        <v>1661</v>
      </c>
      <c r="F1502" s="1" t="s">
        <v>39</v>
      </c>
      <c r="G1502" s="1" t="str">
        <f>"06734220962"</f>
        <v>06734220962</v>
      </c>
      <c r="I1502" s="1" t="s">
        <v>1644</v>
      </c>
      <c r="L1502" s="1" t="s">
        <v>43</v>
      </c>
      <c r="M1502" s="1">
        <v>1352</v>
      </c>
      <c r="AG1502" s="1">
        <v>0</v>
      </c>
      <c r="AH1502" s="2">
        <v>45194</v>
      </c>
      <c r="AI1502" s="2">
        <v>45291</v>
      </c>
      <c r="AJ1502" s="2">
        <v>45194</v>
      </c>
    </row>
    <row r="1503" spans="1:36">
      <c r="A1503" s="1" t="str">
        <f>"Z3F3D34181"</f>
        <v>Z3F3D34181</v>
      </c>
      <c r="B1503" s="1" t="str">
        <f t="shared" si="30"/>
        <v>02406911202</v>
      </c>
      <c r="C1503" s="1" t="s">
        <v>13</v>
      </c>
      <c r="D1503" s="1" t="s">
        <v>167</v>
      </c>
      <c r="E1503" s="1" t="s">
        <v>1662</v>
      </c>
      <c r="F1503" s="1" t="s">
        <v>151</v>
      </c>
      <c r="G1503" s="1" t="str">
        <f>"03342070962"</f>
        <v>03342070962</v>
      </c>
      <c r="I1503" s="1" t="s">
        <v>1663</v>
      </c>
      <c r="L1503" s="1" t="s">
        <v>43</v>
      </c>
      <c r="M1503" s="1">
        <v>4975.2</v>
      </c>
      <c r="AG1503" s="1">
        <v>0</v>
      </c>
      <c r="AH1503" s="2">
        <v>45239</v>
      </c>
      <c r="AI1503" s="2">
        <v>45351</v>
      </c>
      <c r="AJ1503" s="2">
        <v>45239</v>
      </c>
    </row>
    <row r="1504" spans="1:36">
      <c r="A1504" s="1" t="str">
        <f>"Z403CF54CB"</f>
        <v>Z403CF54CB</v>
      </c>
      <c r="B1504" s="1" t="str">
        <f t="shared" si="30"/>
        <v>02406911202</v>
      </c>
      <c r="C1504" s="1" t="s">
        <v>13</v>
      </c>
      <c r="D1504" s="1" t="s">
        <v>177</v>
      </c>
      <c r="E1504" s="1" t="s">
        <v>1664</v>
      </c>
      <c r="F1504" s="1" t="s">
        <v>158</v>
      </c>
      <c r="G1504" s="1" t="str">
        <f>"05106600157"</f>
        <v>05106600157</v>
      </c>
      <c r="I1504" s="1" t="s">
        <v>1665</v>
      </c>
      <c r="L1504" s="1" t="s">
        <v>43</v>
      </c>
      <c r="M1504" s="1">
        <v>17000</v>
      </c>
      <c r="AG1504" s="1">
        <v>15600</v>
      </c>
      <c r="AH1504" s="2">
        <v>45240</v>
      </c>
      <c r="AI1504" s="2">
        <v>45260</v>
      </c>
      <c r="AJ1504" s="2">
        <v>45240</v>
      </c>
    </row>
    <row r="1505" spans="1:36">
      <c r="A1505" s="1" t="str">
        <f>"Z403D8404E"</f>
        <v>Z403D8404E</v>
      </c>
      <c r="B1505" s="1" t="str">
        <f t="shared" si="30"/>
        <v>02406911202</v>
      </c>
      <c r="C1505" s="1" t="s">
        <v>13</v>
      </c>
      <c r="D1505" s="1" t="s">
        <v>186</v>
      </c>
      <c r="E1505" s="1" t="s">
        <v>1666</v>
      </c>
      <c r="F1505" s="1" t="s">
        <v>158</v>
      </c>
      <c r="G1505" s="1" t="str">
        <f>"11159150157"</f>
        <v>11159150157</v>
      </c>
      <c r="I1505" s="1" t="s">
        <v>543</v>
      </c>
      <c r="L1505" s="1" t="s">
        <v>43</v>
      </c>
      <c r="M1505" s="1">
        <v>4999</v>
      </c>
      <c r="AG1505" s="1">
        <v>0</v>
      </c>
      <c r="AH1505" s="2">
        <v>45259</v>
      </c>
      <c r="AI1505" s="2">
        <v>46022</v>
      </c>
      <c r="AJ1505" s="2">
        <v>45259</v>
      </c>
    </row>
    <row r="1506" spans="1:36">
      <c r="A1506" s="1" t="str">
        <f>"Z403DFDD7A"</f>
        <v>Z403DFDD7A</v>
      </c>
      <c r="B1506" s="1" t="str">
        <f t="shared" si="30"/>
        <v>02406911202</v>
      </c>
      <c r="C1506" s="1" t="s">
        <v>13</v>
      </c>
      <c r="D1506" s="1" t="s">
        <v>186</v>
      </c>
      <c r="E1506" s="1" t="s">
        <v>1667</v>
      </c>
      <c r="F1506" s="1" t="s">
        <v>158</v>
      </c>
      <c r="G1506" s="1" t="str">
        <f>"04222050371"</f>
        <v>04222050371</v>
      </c>
      <c r="I1506" s="1" t="s">
        <v>1668</v>
      </c>
      <c r="L1506" s="1" t="s">
        <v>43</v>
      </c>
      <c r="M1506" s="1">
        <v>4999</v>
      </c>
      <c r="AG1506" s="1">
        <v>0</v>
      </c>
      <c r="AH1506" s="2">
        <v>45288</v>
      </c>
      <c r="AI1506" s="2">
        <v>45657</v>
      </c>
      <c r="AJ1506" s="2">
        <v>45288</v>
      </c>
    </row>
    <row r="1507" spans="1:36">
      <c r="A1507" s="1" t="str">
        <f>"Z413CAC167"</f>
        <v>Z413CAC167</v>
      </c>
      <c r="B1507" s="1" t="str">
        <f t="shared" si="30"/>
        <v>02406911202</v>
      </c>
      <c r="C1507" s="1" t="s">
        <v>13</v>
      </c>
      <c r="D1507" s="1" t="s">
        <v>180</v>
      </c>
      <c r="E1507" s="1" t="s">
        <v>279</v>
      </c>
      <c r="F1507" s="1" t="s">
        <v>158</v>
      </c>
      <c r="G1507" s="1" t="str">
        <f>"03597020373"</f>
        <v>03597020373</v>
      </c>
      <c r="I1507" s="1" t="s">
        <v>254</v>
      </c>
      <c r="L1507" s="1" t="s">
        <v>43</v>
      </c>
      <c r="M1507" s="1">
        <v>6000</v>
      </c>
      <c r="AG1507" s="1">
        <v>5683.2</v>
      </c>
      <c r="AH1507" s="2">
        <v>45201</v>
      </c>
      <c r="AI1507" s="2">
        <v>45291</v>
      </c>
      <c r="AJ1507" s="2">
        <v>45201</v>
      </c>
    </row>
    <row r="1508" spans="1:36">
      <c r="A1508" s="1" t="str">
        <f>"Z413D023F1"</f>
        <v>Z413D023F1</v>
      </c>
      <c r="B1508" s="1" t="str">
        <f t="shared" si="30"/>
        <v>02406911202</v>
      </c>
      <c r="C1508" s="1" t="s">
        <v>13</v>
      </c>
      <c r="D1508" s="1" t="s">
        <v>180</v>
      </c>
      <c r="E1508" s="1" t="s">
        <v>181</v>
      </c>
      <c r="F1508" s="1" t="s">
        <v>158</v>
      </c>
      <c r="G1508" s="1" t="str">
        <f>"02158490595"</f>
        <v>02158490595</v>
      </c>
      <c r="I1508" s="1" t="s">
        <v>694</v>
      </c>
      <c r="L1508" s="1" t="s">
        <v>43</v>
      </c>
      <c r="M1508" s="1">
        <v>5000</v>
      </c>
      <c r="AG1508" s="1">
        <v>0</v>
      </c>
      <c r="AH1508" s="2">
        <v>45224</v>
      </c>
      <c r="AI1508" s="2">
        <v>45291</v>
      </c>
      <c r="AJ1508" s="2">
        <v>45224</v>
      </c>
    </row>
    <row r="1509" spans="1:36">
      <c r="A1509" s="1" t="str">
        <f>"Z413D03C74"</f>
        <v>Z413D03C74</v>
      </c>
      <c r="B1509" s="1" t="str">
        <f t="shared" si="30"/>
        <v>02406911202</v>
      </c>
      <c r="C1509" s="1" t="s">
        <v>13</v>
      </c>
      <c r="D1509" s="1" t="s">
        <v>180</v>
      </c>
      <c r="E1509" s="1" t="s">
        <v>281</v>
      </c>
      <c r="F1509" s="1" t="s">
        <v>158</v>
      </c>
      <c r="G1509" s="1" t="str">
        <f>"03353370160"</f>
        <v>03353370160</v>
      </c>
      <c r="I1509" s="1" t="s">
        <v>478</v>
      </c>
      <c r="L1509" s="1" t="s">
        <v>43</v>
      </c>
      <c r="M1509" s="1">
        <v>6000</v>
      </c>
      <c r="AG1509" s="1">
        <v>0</v>
      </c>
      <c r="AH1509" s="2">
        <v>45225</v>
      </c>
      <c r="AI1509" s="2">
        <v>45291</v>
      </c>
      <c r="AJ1509" s="2">
        <v>45225</v>
      </c>
    </row>
    <row r="1510" spans="1:36">
      <c r="A1510" s="1" t="str">
        <f>"Z423C4EE61"</f>
        <v>Z423C4EE61</v>
      </c>
      <c r="B1510" s="1" t="str">
        <f t="shared" si="30"/>
        <v>02406911202</v>
      </c>
      <c r="C1510" s="1" t="s">
        <v>13</v>
      </c>
      <c r="D1510" s="1" t="s">
        <v>164</v>
      </c>
      <c r="E1510" s="1" t="s">
        <v>1669</v>
      </c>
      <c r="F1510" s="1" t="s">
        <v>39</v>
      </c>
      <c r="G1510" s="1" t="str">
        <f>"03359340837"</f>
        <v>03359340837</v>
      </c>
      <c r="I1510" s="1" t="s">
        <v>759</v>
      </c>
      <c r="L1510" s="1" t="s">
        <v>43</v>
      </c>
      <c r="M1510" s="1">
        <v>2710</v>
      </c>
      <c r="AG1510" s="1">
        <v>0</v>
      </c>
      <c r="AH1510" s="2">
        <v>45169</v>
      </c>
      <c r="AI1510" s="2">
        <v>45291</v>
      </c>
      <c r="AJ1510" s="2">
        <v>45169</v>
      </c>
    </row>
    <row r="1511" spans="1:36">
      <c r="A1511" s="1" t="str">
        <f>"Z423CEADAC"</f>
        <v>Z423CEADAC</v>
      </c>
      <c r="B1511" s="1" t="str">
        <f t="shared" si="30"/>
        <v>02406911202</v>
      </c>
      <c r="C1511" s="1" t="s">
        <v>13</v>
      </c>
      <c r="D1511" s="1" t="s">
        <v>180</v>
      </c>
      <c r="E1511" s="1" t="s">
        <v>1670</v>
      </c>
      <c r="F1511" s="1" t="s">
        <v>158</v>
      </c>
      <c r="G1511" s="1" t="str">
        <f>"05006721210"</f>
        <v>05006721210</v>
      </c>
      <c r="I1511" s="1" t="s">
        <v>1671</v>
      </c>
      <c r="L1511" s="1" t="s">
        <v>43</v>
      </c>
      <c r="M1511" s="1">
        <v>5000</v>
      </c>
      <c r="AG1511" s="1">
        <v>3660</v>
      </c>
      <c r="AH1511" s="2">
        <v>45218</v>
      </c>
      <c r="AI1511" s="2">
        <v>45291</v>
      </c>
      <c r="AJ1511" s="2">
        <v>45218</v>
      </c>
    </row>
    <row r="1512" spans="1:36">
      <c r="A1512" s="1" t="str">
        <f>"Z433C932E4"</f>
        <v>Z433C932E4</v>
      </c>
      <c r="B1512" s="1" t="str">
        <f t="shared" si="30"/>
        <v>02406911202</v>
      </c>
      <c r="C1512" s="1" t="s">
        <v>13</v>
      </c>
      <c r="D1512" s="1" t="s">
        <v>180</v>
      </c>
      <c r="E1512" s="1" t="s">
        <v>296</v>
      </c>
      <c r="F1512" s="1" t="s">
        <v>158</v>
      </c>
      <c r="G1512" s="1" t="str">
        <f>"00759430267"</f>
        <v>00759430267</v>
      </c>
      <c r="I1512" s="1" t="s">
        <v>327</v>
      </c>
      <c r="L1512" s="1" t="s">
        <v>43</v>
      </c>
      <c r="M1512" s="1">
        <v>6000</v>
      </c>
      <c r="AG1512" s="1">
        <v>5827.05</v>
      </c>
      <c r="AH1512" s="2">
        <v>45194</v>
      </c>
      <c r="AI1512" s="2">
        <v>45291</v>
      </c>
      <c r="AJ1512" s="2">
        <v>45194</v>
      </c>
    </row>
    <row r="1513" spans="1:36">
      <c r="A1513" s="1" t="str">
        <f>"Z433CCC1BF"</f>
        <v>Z433CCC1BF</v>
      </c>
      <c r="B1513" s="1" t="str">
        <f t="shared" si="30"/>
        <v>02406911202</v>
      </c>
      <c r="C1513" s="1" t="s">
        <v>13</v>
      </c>
      <c r="D1513" s="1" t="s">
        <v>180</v>
      </c>
      <c r="E1513" s="1" t="s">
        <v>181</v>
      </c>
      <c r="F1513" s="1" t="s">
        <v>158</v>
      </c>
      <c r="H1513" s="1" t="str">
        <f>"IE3572385VH"</f>
        <v>IE3572385VH</v>
      </c>
      <c r="I1513" s="1" t="s">
        <v>651</v>
      </c>
      <c r="L1513" s="1" t="s">
        <v>43</v>
      </c>
      <c r="M1513" s="1">
        <v>5000</v>
      </c>
      <c r="AG1513" s="1">
        <v>2370</v>
      </c>
      <c r="AH1513" s="2">
        <v>45210</v>
      </c>
      <c r="AI1513" s="2">
        <v>45291</v>
      </c>
      <c r="AJ1513" s="2">
        <v>45210</v>
      </c>
    </row>
    <row r="1514" spans="1:36">
      <c r="A1514" s="1" t="str">
        <f>"Z453D090DF"</f>
        <v>Z453D090DF</v>
      </c>
      <c r="B1514" s="1" t="str">
        <f t="shared" si="30"/>
        <v>02406911202</v>
      </c>
      <c r="C1514" s="1" t="s">
        <v>13</v>
      </c>
      <c r="D1514" s="1" t="s">
        <v>186</v>
      </c>
      <c r="E1514" s="1" t="s">
        <v>686</v>
      </c>
      <c r="F1514" s="1" t="s">
        <v>158</v>
      </c>
      <c r="G1514" s="1" t="str">
        <f>"02236190233"</f>
        <v>02236190233</v>
      </c>
      <c r="I1514" s="1" t="s">
        <v>325</v>
      </c>
      <c r="L1514" s="1" t="s">
        <v>43</v>
      </c>
      <c r="M1514" s="1">
        <v>4999</v>
      </c>
      <c r="AG1514" s="1">
        <v>0</v>
      </c>
      <c r="AH1514" s="2">
        <v>45226</v>
      </c>
      <c r="AI1514" s="2">
        <v>46022</v>
      </c>
      <c r="AJ1514" s="2">
        <v>45226</v>
      </c>
    </row>
    <row r="1515" spans="1:36">
      <c r="A1515" s="1" t="str">
        <f>"Z453D27F07"</f>
        <v>Z453D27F07</v>
      </c>
      <c r="B1515" s="1" t="str">
        <f t="shared" si="30"/>
        <v>02406911202</v>
      </c>
      <c r="C1515" s="1" t="s">
        <v>13</v>
      </c>
      <c r="D1515" s="1" t="s">
        <v>186</v>
      </c>
      <c r="E1515" s="1" t="s">
        <v>1672</v>
      </c>
      <c r="F1515" s="1" t="s">
        <v>158</v>
      </c>
      <c r="G1515" s="1" t="str">
        <f>"03597020373"</f>
        <v>03597020373</v>
      </c>
      <c r="I1515" s="1" t="s">
        <v>254</v>
      </c>
      <c r="L1515" s="1" t="s">
        <v>43</v>
      </c>
      <c r="M1515" s="1">
        <v>4999</v>
      </c>
      <c r="AG1515" s="1">
        <v>0</v>
      </c>
      <c r="AH1515" s="2">
        <v>45237</v>
      </c>
      <c r="AI1515" s="2">
        <v>46022</v>
      </c>
      <c r="AJ1515" s="2">
        <v>45237</v>
      </c>
    </row>
    <row r="1516" spans="1:36">
      <c r="A1516" s="1" t="str">
        <f>"Z453D63906"</f>
        <v>Z453D63906</v>
      </c>
      <c r="B1516" s="1" t="str">
        <f t="shared" si="30"/>
        <v>02406911202</v>
      </c>
      <c r="C1516" s="1" t="s">
        <v>13</v>
      </c>
      <c r="D1516" s="1" t="s">
        <v>180</v>
      </c>
      <c r="E1516" s="1" t="s">
        <v>279</v>
      </c>
      <c r="F1516" s="1" t="s">
        <v>158</v>
      </c>
      <c r="G1516" s="1" t="str">
        <f>"00801720152"</f>
        <v>00801720152</v>
      </c>
      <c r="I1516" s="1" t="s">
        <v>1585</v>
      </c>
      <c r="L1516" s="1" t="s">
        <v>43</v>
      </c>
      <c r="M1516" s="1">
        <v>5000</v>
      </c>
      <c r="AG1516" s="1">
        <v>0</v>
      </c>
      <c r="AH1516" s="2">
        <v>45252</v>
      </c>
      <c r="AI1516" s="2">
        <v>45291</v>
      </c>
      <c r="AJ1516" s="2">
        <v>45252</v>
      </c>
    </row>
    <row r="1517" spans="1:36">
      <c r="A1517" s="1" t="str">
        <f>"Z453D7A0DB"</f>
        <v>Z453D7A0DB</v>
      </c>
      <c r="B1517" s="1" t="str">
        <f t="shared" si="30"/>
        <v>02406911202</v>
      </c>
      <c r="C1517" s="1" t="s">
        <v>13</v>
      </c>
      <c r="D1517" s="1" t="s">
        <v>180</v>
      </c>
      <c r="E1517" s="1" t="s">
        <v>296</v>
      </c>
      <c r="F1517" s="1" t="s">
        <v>158</v>
      </c>
      <c r="G1517" s="1" t="str">
        <f>"02812360101"</f>
        <v>02812360101</v>
      </c>
      <c r="I1517" s="1" t="s">
        <v>525</v>
      </c>
      <c r="L1517" s="1" t="s">
        <v>43</v>
      </c>
      <c r="M1517" s="1">
        <v>5000</v>
      </c>
      <c r="AG1517" s="1">
        <v>0</v>
      </c>
      <c r="AH1517" s="2">
        <v>45258</v>
      </c>
      <c r="AI1517" s="2">
        <v>45657</v>
      </c>
      <c r="AJ1517" s="2">
        <v>45258</v>
      </c>
    </row>
    <row r="1518" spans="1:36">
      <c r="A1518" s="1" t="str">
        <f>"Z453DCFE9D"</f>
        <v>Z453DCFE9D</v>
      </c>
      <c r="B1518" s="1" t="str">
        <f t="shared" si="30"/>
        <v>02406911202</v>
      </c>
      <c r="C1518" s="1" t="s">
        <v>13</v>
      </c>
      <c r="D1518" s="1" t="s">
        <v>180</v>
      </c>
      <c r="E1518" s="1" t="s">
        <v>281</v>
      </c>
      <c r="F1518" s="1" t="s">
        <v>158</v>
      </c>
      <c r="G1518" s="1" t="str">
        <f>"15685941005"</f>
        <v>15685941005</v>
      </c>
      <c r="I1518" s="1" t="s">
        <v>1495</v>
      </c>
      <c r="L1518" s="1" t="s">
        <v>43</v>
      </c>
      <c r="M1518" s="1">
        <v>6000</v>
      </c>
      <c r="AG1518" s="1">
        <v>0</v>
      </c>
      <c r="AH1518" s="2">
        <v>45274</v>
      </c>
      <c r="AI1518" s="2">
        <v>45657</v>
      </c>
      <c r="AJ1518" s="2">
        <v>45274</v>
      </c>
    </row>
    <row r="1519" spans="1:36">
      <c r="A1519" s="1" t="str">
        <f>"Z463CE9E15"</f>
        <v>Z463CE9E15</v>
      </c>
      <c r="B1519" s="1" t="str">
        <f t="shared" si="30"/>
        <v>02406911202</v>
      </c>
      <c r="C1519" s="1" t="s">
        <v>13</v>
      </c>
      <c r="D1519" s="1" t="s">
        <v>180</v>
      </c>
      <c r="E1519" s="1" t="s">
        <v>244</v>
      </c>
      <c r="F1519" s="1" t="s">
        <v>158</v>
      </c>
      <c r="G1519" s="1" t="str">
        <f>"06068041000"</f>
        <v>06068041000</v>
      </c>
      <c r="I1519" s="1" t="s">
        <v>468</v>
      </c>
      <c r="L1519" s="1" t="s">
        <v>43</v>
      </c>
      <c r="M1519" s="1">
        <v>6000</v>
      </c>
      <c r="AG1519" s="1">
        <v>4000</v>
      </c>
      <c r="AH1519" s="2">
        <v>45225</v>
      </c>
      <c r="AI1519" s="2">
        <v>45291</v>
      </c>
      <c r="AJ1519" s="2">
        <v>45225</v>
      </c>
    </row>
    <row r="1520" spans="1:36">
      <c r="A1520" s="1" t="str">
        <f>"Z463CF595A"</f>
        <v>Z463CF595A</v>
      </c>
      <c r="B1520" s="1" t="str">
        <f t="shared" si="30"/>
        <v>02406911202</v>
      </c>
      <c r="C1520" s="1" t="s">
        <v>13</v>
      </c>
      <c r="D1520" s="1" t="s">
        <v>177</v>
      </c>
      <c r="E1520" s="1" t="s">
        <v>1673</v>
      </c>
      <c r="F1520" s="1" t="s">
        <v>158</v>
      </c>
      <c r="G1520" s="1" t="str">
        <f>"02797490964"</f>
        <v>02797490964</v>
      </c>
      <c r="I1520" s="1" t="s">
        <v>1674</v>
      </c>
      <c r="L1520" s="1" t="s">
        <v>43</v>
      </c>
      <c r="M1520" s="1">
        <v>2600</v>
      </c>
      <c r="AG1520" s="1">
        <v>2385</v>
      </c>
      <c r="AH1520" s="2">
        <v>45231</v>
      </c>
      <c r="AI1520" s="2">
        <v>45291</v>
      </c>
      <c r="AJ1520" s="2">
        <v>45231</v>
      </c>
    </row>
    <row r="1521" spans="1:36">
      <c r="A1521" s="1" t="str">
        <f>"Z473C93202"</f>
        <v>Z473C93202</v>
      </c>
      <c r="B1521" s="1" t="str">
        <f t="shared" si="30"/>
        <v>02406911202</v>
      </c>
      <c r="C1521" s="1" t="s">
        <v>13</v>
      </c>
      <c r="D1521" s="1" t="s">
        <v>180</v>
      </c>
      <c r="E1521" s="1" t="s">
        <v>491</v>
      </c>
      <c r="F1521" s="1" t="s">
        <v>158</v>
      </c>
      <c r="G1521" s="1" t="str">
        <f>"00972790109"</f>
        <v>00972790109</v>
      </c>
      <c r="I1521" s="1" t="s">
        <v>934</v>
      </c>
      <c r="L1521" s="1" t="s">
        <v>43</v>
      </c>
      <c r="M1521" s="1">
        <v>6000</v>
      </c>
      <c r="AG1521" s="1">
        <v>1462.8</v>
      </c>
      <c r="AH1521" s="2">
        <v>45194</v>
      </c>
      <c r="AI1521" s="2">
        <v>45291</v>
      </c>
      <c r="AJ1521" s="2">
        <v>45194</v>
      </c>
    </row>
    <row r="1522" spans="1:36">
      <c r="A1522" s="1" t="str">
        <f>"Z473CB1757"</f>
        <v>Z473CB1757</v>
      </c>
      <c r="B1522" s="1" t="str">
        <f t="shared" si="30"/>
        <v>02406911202</v>
      </c>
      <c r="C1522" s="1" t="s">
        <v>13</v>
      </c>
      <c r="D1522" s="1" t="s">
        <v>180</v>
      </c>
      <c r="E1522" s="1" t="s">
        <v>181</v>
      </c>
      <c r="F1522" s="1" t="s">
        <v>158</v>
      </c>
      <c r="G1522" s="1" t="str">
        <f>"00962280590"</f>
        <v>00962280590</v>
      </c>
      <c r="I1522" s="1" t="s">
        <v>42</v>
      </c>
      <c r="L1522" s="1" t="s">
        <v>43</v>
      </c>
      <c r="M1522" s="1">
        <v>6000</v>
      </c>
      <c r="AG1522" s="1">
        <v>0</v>
      </c>
      <c r="AH1522" s="2">
        <v>45202</v>
      </c>
      <c r="AI1522" s="2">
        <v>45291</v>
      </c>
      <c r="AJ1522" s="2">
        <v>45202</v>
      </c>
    </row>
    <row r="1523" spans="1:36">
      <c r="A1523" s="1" t="str">
        <f>"Z473DA2495"</f>
        <v>Z473DA2495</v>
      </c>
      <c r="B1523" s="1" t="str">
        <f t="shared" si="30"/>
        <v>02406911202</v>
      </c>
      <c r="C1523" s="1" t="s">
        <v>13</v>
      </c>
      <c r="D1523" s="1" t="s">
        <v>180</v>
      </c>
      <c r="E1523" s="1" t="s">
        <v>279</v>
      </c>
      <c r="F1523" s="1" t="s">
        <v>158</v>
      </c>
      <c r="G1523" s="1" t="str">
        <f>"05848611009"</f>
        <v>05848611009</v>
      </c>
      <c r="I1523" s="1" t="s">
        <v>1509</v>
      </c>
      <c r="L1523" s="1" t="s">
        <v>43</v>
      </c>
      <c r="M1523" s="1">
        <v>6</v>
      </c>
      <c r="AG1523" s="1">
        <v>0</v>
      </c>
      <c r="AH1523" s="2">
        <v>45266</v>
      </c>
      <c r="AI1523" s="2">
        <v>45291</v>
      </c>
      <c r="AJ1523" s="2">
        <v>45266</v>
      </c>
    </row>
    <row r="1524" spans="1:36">
      <c r="A1524" s="1" t="str">
        <f>"Z473E0379B"</f>
        <v>Z473E0379B</v>
      </c>
      <c r="B1524" s="1" t="str">
        <f t="shared" si="30"/>
        <v>02406911202</v>
      </c>
      <c r="C1524" s="1" t="s">
        <v>13</v>
      </c>
      <c r="D1524" s="1" t="s">
        <v>177</v>
      </c>
      <c r="E1524" s="1" t="s">
        <v>1675</v>
      </c>
      <c r="F1524" s="1" t="s">
        <v>158</v>
      </c>
      <c r="G1524" s="1" t="str">
        <f>"04144000371"</f>
        <v>04144000371</v>
      </c>
      <c r="I1524" s="1" t="s">
        <v>256</v>
      </c>
      <c r="L1524" s="1" t="s">
        <v>43</v>
      </c>
      <c r="M1524" s="1">
        <v>25000</v>
      </c>
      <c r="AG1524" s="1">
        <v>0</v>
      </c>
      <c r="AH1524" s="2">
        <v>45219</v>
      </c>
      <c r="AI1524" s="2">
        <v>45291</v>
      </c>
      <c r="AJ1524" s="2">
        <v>45219</v>
      </c>
    </row>
    <row r="1525" spans="1:36">
      <c r="A1525" s="1" t="str">
        <f>"Z483CDE841"</f>
        <v>Z483CDE841</v>
      </c>
      <c r="B1525" s="1" t="str">
        <f t="shared" si="30"/>
        <v>02406911202</v>
      </c>
      <c r="C1525" s="1" t="s">
        <v>13</v>
      </c>
      <c r="D1525" s="1" t="s">
        <v>264</v>
      </c>
      <c r="E1525" s="1" t="s">
        <v>1676</v>
      </c>
      <c r="F1525" s="1" t="s">
        <v>158</v>
      </c>
      <c r="G1525" s="1" t="str">
        <f>"05131180969"</f>
        <v>05131180969</v>
      </c>
      <c r="I1525" s="1" t="s">
        <v>1215</v>
      </c>
      <c r="L1525" s="1" t="s">
        <v>43</v>
      </c>
      <c r="M1525" s="1">
        <v>3685</v>
      </c>
      <c r="AG1525" s="1">
        <v>0</v>
      </c>
      <c r="AH1525" s="2">
        <v>45215</v>
      </c>
      <c r="AI1525" s="2">
        <v>45222</v>
      </c>
      <c r="AJ1525" s="2">
        <v>45215</v>
      </c>
    </row>
    <row r="1526" spans="1:36">
      <c r="A1526" s="1" t="str">
        <f>"Z483D2E6C9"</f>
        <v>Z483D2E6C9</v>
      </c>
      <c r="B1526" s="1" t="str">
        <f t="shared" si="30"/>
        <v>02406911202</v>
      </c>
      <c r="C1526" s="1" t="s">
        <v>13</v>
      </c>
      <c r="D1526" s="1" t="s">
        <v>186</v>
      </c>
      <c r="E1526" s="1" t="s">
        <v>877</v>
      </c>
      <c r="F1526" s="1" t="s">
        <v>158</v>
      </c>
      <c r="G1526" s="1" t="str">
        <f>"00314470121"</f>
        <v>00314470121</v>
      </c>
      <c r="I1526" s="1" t="s">
        <v>878</v>
      </c>
      <c r="L1526" s="1" t="s">
        <v>43</v>
      </c>
      <c r="M1526" s="1">
        <v>4999</v>
      </c>
      <c r="AG1526" s="1">
        <v>0</v>
      </c>
      <c r="AH1526" s="2">
        <v>45238</v>
      </c>
      <c r="AI1526" s="2">
        <v>46022</v>
      </c>
      <c r="AJ1526" s="2">
        <v>45238</v>
      </c>
    </row>
    <row r="1527" spans="1:36">
      <c r="A1527" s="1" t="str">
        <f>"Z483DB0466"</f>
        <v>Z483DB0466</v>
      </c>
      <c r="B1527" s="1" t="str">
        <f t="shared" si="30"/>
        <v>02406911202</v>
      </c>
      <c r="C1527" s="1" t="s">
        <v>13</v>
      </c>
      <c r="D1527" s="1" t="s">
        <v>167</v>
      </c>
      <c r="E1527" s="1" t="s">
        <v>1677</v>
      </c>
      <c r="F1527" s="1" t="s">
        <v>151</v>
      </c>
      <c r="G1527" s="1" t="str">
        <f>"11008200153"</f>
        <v>11008200153</v>
      </c>
      <c r="I1527" s="1" t="s">
        <v>981</v>
      </c>
      <c r="L1527" s="1" t="s">
        <v>43</v>
      </c>
      <c r="M1527" s="1">
        <v>19680</v>
      </c>
      <c r="AG1527" s="1">
        <v>0</v>
      </c>
      <c r="AH1527" s="2">
        <v>45281</v>
      </c>
      <c r="AI1527" s="2">
        <v>45657</v>
      </c>
      <c r="AJ1527" s="2">
        <v>45281</v>
      </c>
    </row>
    <row r="1528" spans="1:36">
      <c r="A1528" s="1" t="str">
        <f>"Z493CEBF3F"</f>
        <v>Z493CEBF3F</v>
      </c>
      <c r="B1528" s="1" t="str">
        <f t="shared" si="30"/>
        <v>02406911202</v>
      </c>
      <c r="C1528" s="1" t="s">
        <v>13</v>
      </c>
      <c r="D1528" s="1" t="s">
        <v>180</v>
      </c>
      <c r="E1528" s="1" t="s">
        <v>281</v>
      </c>
      <c r="F1528" s="1" t="s">
        <v>158</v>
      </c>
      <c r="G1528" s="1" t="str">
        <f>"10354510157"</f>
        <v>10354510157</v>
      </c>
      <c r="I1528" s="1" t="s">
        <v>1678</v>
      </c>
      <c r="L1528" s="1" t="s">
        <v>43</v>
      </c>
      <c r="M1528" s="1">
        <v>5000</v>
      </c>
      <c r="AG1528" s="1">
        <v>0</v>
      </c>
      <c r="AH1528" s="2">
        <v>45217</v>
      </c>
      <c r="AI1528" s="2">
        <v>45291</v>
      </c>
      <c r="AJ1528" s="2">
        <v>45217</v>
      </c>
    </row>
    <row r="1529" spans="1:36">
      <c r="A1529" s="1" t="str">
        <f>"Z493D2C4BD"</f>
        <v>Z493D2C4BD</v>
      </c>
      <c r="B1529" s="1" t="str">
        <f t="shared" si="30"/>
        <v>02406911202</v>
      </c>
      <c r="C1529" s="1" t="s">
        <v>13</v>
      </c>
      <c r="D1529" s="1" t="s">
        <v>180</v>
      </c>
      <c r="E1529" s="1" t="s">
        <v>185</v>
      </c>
      <c r="F1529" s="1" t="s">
        <v>158</v>
      </c>
      <c r="G1529" s="1" t="str">
        <f>"03066421201"</f>
        <v>03066421201</v>
      </c>
      <c r="I1529" s="1" t="s">
        <v>221</v>
      </c>
      <c r="L1529" s="1" t="s">
        <v>43</v>
      </c>
      <c r="M1529" s="1">
        <v>5000</v>
      </c>
      <c r="AG1529" s="1">
        <v>0</v>
      </c>
      <c r="AH1529" s="2">
        <v>45240</v>
      </c>
      <c r="AI1529" s="2">
        <v>45291</v>
      </c>
      <c r="AJ1529" s="2">
        <v>45240</v>
      </c>
    </row>
    <row r="1530" spans="1:36">
      <c r="A1530" s="1" t="str">
        <f>"Z493D7A0F4"</f>
        <v>Z493D7A0F4</v>
      </c>
      <c r="B1530" s="1" t="str">
        <f t="shared" si="30"/>
        <v>02406911202</v>
      </c>
      <c r="C1530" s="1" t="s">
        <v>13</v>
      </c>
      <c r="D1530" s="1" t="s">
        <v>180</v>
      </c>
      <c r="E1530" s="1" t="s">
        <v>281</v>
      </c>
      <c r="F1530" s="1" t="s">
        <v>158</v>
      </c>
      <c r="G1530" s="1" t="str">
        <f>"00972790109"</f>
        <v>00972790109</v>
      </c>
      <c r="I1530" s="1" t="s">
        <v>934</v>
      </c>
      <c r="L1530" s="1" t="s">
        <v>43</v>
      </c>
      <c r="M1530" s="1">
        <v>6000</v>
      </c>
      <c r="AG1530" s="1">
        <v>0</v>
      </c>
      <c r="AH1530" s="2">
        <v>45260</v>
      </c>
      <c r="AI1530" s="2">
        <v>45657</v>
      </c>
      <c r="AJ1530" s="2">
        <v>45260</v>
      </c>
    </row>
    <row r="1531" spans="1:36">
      <c r="A1531" s="1" t="str">
        <f>"Z493DBC8C3"</f>
        <v>Z493DBC8C3</v>
      </c>
      <c r="B1531" s="1" t="str">
        <f t="shared" si="30"/>
        <v>02406911202</v>
      </c>
      <c r="C1531" s="1" t="s">
        <v>13</v>
      </c>
      <c r="D1531" s="1" t="s">
        <v>180</v>
      </c>
      <c r="E1531" s="1" t="s">
        <v>220</v>
      </c>
      <c r="F1531" s="1" t="s">
        <v>158</v>
      </c>
      <c r="G1531" s="1" t="str">
        <f>"11206730159"</f>
        <v>11206730159</v>
      </c>
      <c r="I1531" s="1" t="s">
        <v>68</v>
      </c>
      <c r="L1531" s="1" t="s">
        <v>43</v>
      </c>
      <c r="M1531" s="1">
        <v>5000</v>
      </c>
      <c r="AG1531" s="1">
        <v>0</v>
      </c>
      <c r="AH1531" s="2">
        <v>45288</v>
      </c>
      <c r="AI1531" s="2">
        <v>45657</v>
      </c>
      <c r="AJ1531" s="2">
        <v>45288</v>
      </c>
    </row>
    <row r="1532" spans="1:36">
      <c r="A1532" s="1" t="str">
        <f>"Z493DFA60E"</f>
        <v>Z493DFA60E</v>
      </c>
      <c r="B1532" s="1" t="str">
        <f t="shared" si="30"/>
        <v>02406911202</v>
      </c>
      <c r="C1532" s="1" t="s">
        <v>13</v>
      </c>
      <c r="D1532" s="1" t="s">
        <v>186</v>
      </c>
      <c r="E1532" s="1" t="s">
        <v>1679</v>
      </c>
      <c r="F1532" s="1" t="s">
        <v>158</v>
      </c>
      <c r="G1532" s="1" t="str">
        <f>"80065470371"</f>
        <v>80065470371</v>
      </c>
      <c r="I1532" s="1" t="s">
        <v>1680</v>
      </c>
      <c r="L1532" s="1" t="s">
        <v>43</v>
      </c>
      <c r="M1532" s="1">
        <v>4990</v>
      </c>
      <c r="AG1532" s="1">
        <v>0</v>
      </c>
      <c r="AH1532" s="2">
        <v>45288</v>
      </c>
      <c r="AI1532" s="2">
        <v>45657</v>
      </c>
      <c r="AJ1532" s="2">
        <v>45288</v>
      </c>
    </row>
    <row r="1533" spans="1:36">
      <c r="A1533" s="1" t="str">
        <f>"Z4A3CB1B17"</f>
        <v>Z4A3CB1B17</v>
      </c>
      <c r="B1533" s="1" t="str">
        <f t="shared" si="30"/>
        <v>02406911202</v>
      </c>
      <c r="C1533" s="1" t="s">
        <v>13</v>
      </c>
      <c r="D1533" s="1" t="s">
        <v>167</v>
      </c>
      <c r="E1533" s="1" t="s">
        <v>1681</v>
      </c>
      <c r="F1533" s="1" t="s">
        <v>151</v>
      </c>
      <c r="G1533" s="1" t="str">
        <f>"02457060032"</f>
        <v>02457060032</v>
      </c>
      <c r="I1533" s="1" t="s">
        <v>320</v>
      </c>
      <c r="L1533" s="1" t="s">
        <v>43</v>
      </c>
      <c r="M1533" s="1">
        <v>700</v>
      </c>
      <c r="AG1533" s="1">
        <v>0</v>
      </c>
      <c r="AH1533" s="2">
        <v>45215</v>
      </c>
      <c r="AI1533" s="2">
        <v>45945</v>
      </c>
      <c r="AJ1533" s="2">
        <v>45215</v>
      </c>
    </row>
    <row r="1534" spans="1:36">
      <c r="A1534" s="1" t="str">
        <f>"Z4A3CC704B"</f>
        <v>Z4A3CC704B</v>
      </c>
      <c r="B1534" s="1" t="str">
        <f t="shared" si="30"/>
        <v>02406911202</v>
      </c>
      <c r="C1534" s="1" t="s">
        <v>13</v>
      </c>
      <c r="D1534" s="1" t="s">
        <v>180</v>
      </c>
      <c r="E1534" s="1" t="s">
        <v>279</v>
      </c>
      <c r="F1534" s="1" t="s">
        <v>158</v>
      </c>
      <c r="G1534" s="1" t="str">
        <f>"05848611009"</f>
        <v>05848611009</v>
      </c>
      <c r="I1534" s="1" t="s">
        <v>1509</v>
      </c>
      <c r="L1534" s="1" t="s">
        <v>43</v>
      </c>
      <c r="M1534" s="1">
        <v>5000</v>
      </c>
      <c r="AG1534" s="1">
        <v>0</v>
      </c>
      <c r="AH1534" s="2">
        <v>45209</v>
      </c>
      <c r="AI1534" s="2">
        <v>45291</v>
      </c>
      <c r="AJ1534" s="2">
        <v>45209</v>
      </c>
    </row>
    <row r="1535" spans="1:36">
      <c r="A1535" s="1" t="str">
        <f>"Z4A3D01C90"</f>
        <v>Z4A3D01C90</v>
      </c>
      <c r="B1535" s="1" t="str">
        <f t="shared" si="30"/>
        <v>02406911202</v>
      </c>
      <c r="C1535" s="1" t="s">
        <v>13</v>
      </c>
      <c r="D1535" s="1" t="s">
        <v>186</v>
      </c>
      <c r="E1535" s="1" t="s">
        <v>1682</v>
      </c>
      <c r="F1535" s="1" t="s">
        <v>158</v>
      </c>
      <c r="G1535" s="1" t="str">
        <f>"01418430359"</f>
        <v>01418430359</v>
      </c>
      <c r="I1535" s="1" t="s">
        <v>1683</v>
      </c>
      <c r="L1535" s="1" t="s">
        <v>43</v>
      </c>
      <c r="M1535" s="1">
        <v>5998.8</v>
      </c>
      <c r="AG1535" s="1">
        <v>0</v>
      </c>
      <c r="AH1535" s="2">
        <v>45224</v>
      </c>
      <c r="AI1535" s="2">
        <v>45657</v>
      </c>
      <c r="AJ1535" s="2">
        <v>45224</v>
      </c>
    </row>
    <row r="1536" spans="1:36">
      <c r="A1536" s="1" t="str">
        <f>"Z4A3D62BAA"</f>
        <v>Z4A3D62BAA</v>
      </c>
      <c r="B1536" s="1" t="str">
        <f t="shared" si="30"/>
        <v>02406911202</v>
      </c>
      <c r="C1536" s="1" t="s">
        <v>13</v>
      </c>
      <c r="D1536" s="1" t="s">
        <v>164</v>
      </c>
      <c r="E1536" s="1" t="s">
        <v>1684</v>
      </c>
      <c r="F1536" s="1" t="s">
        <v>158</v>
      </c>
      <c r="G1536" s="1" t="str">
        <f>"02969631205"</f>
        <v>02969631205</v>
      </c>
      <c r="I1536" s="1" t="s">
        <v>1685</v>
      </c>
      <c r="L1536" s="1" t="s">
        <v>43</v>
      </c>
      <c r="M1536" s="1">
        <v>454</v>
      </c>
      <c r="AG1536" s="1">
        <v>0</v>
      </c>
      <c r="AH1536" s="2">
        <v>45251</v>
      </c>
      <c r="AI1536" s="2">
        <v>45608</v>
      </c>
      <c r="AJ1536" s="2">
        <v>45251</v>
      </c>
    </row>
    <row r="1537" spans="1:36">
      <c r="A1537" s="1" t="str">
        <f>"Z4A3D7CA67"</f>
        <v>Z4A3D7CA67</v>
      </c>
      <c r="B1537" s="1" t="str">
        <f t="shared" si="30"/>
        <v>02406911202</v>
      </c>
      <c r="C1537" s="1" t="s">
        <v>13</v>
      </c>
      <c r="D1537" s="1" t="s">
        <v>186</v>
      </c>
      <c r="E1537" s="1" t="s">
        <v>1686</v>
      </c>
      <c r="F1537" s="1" t="s">
        <v>158</v>
      </c>
      <c r="G1537" s="1" t="str">
        <f>"02125550349"</f>
        <v>02125550349</v>
      </c>
      <c r="I1537" s="1" t="s">
        <v>308</v>
      </c>
      <c r="L1537" s="1" t="s">
        <v>43</v>
      </c>
      <c r="M1537" s="1">
        <v>4999</v>
      </c>
      <c r="AG1537" s="1">
        <v>0</v>
      </c>
      <c r="AH1537" s="2">
        <v>45258</v>
      </c>
      <c r="AI1537" s="2">
        <v>46022</v>
      </c>
      <c r="AJ1537" s="2">
        <v>45258</v>
      </c>
    </row>
    <row r="1538" spans="1:36">
      <c r="A1538" s="1" t="str">
        <f>"Z4B3CDF6CA"</f>
        <v>Z4B3CDF6CA</v>
      </c>
      <c r="B1538" s="1" t="str">
        <f t="shared" ref="B1538:B1601" si="31">"02406911202"</f>
        <v>02406911202</v>
      </c>
      <c r="C1538" s="1" t="s">
        <v>13</v>
      </c>
      <c r="D1538" s="1" t="s">
        <v>264</v>
      </c>
      <c r="E1538" s="1" t="s">
        <v>1687</v>
      </c>
      <c r="F1538" s="1" t="s">
        <v>158</v>
      </c>
      <c r="G1538" s="1" t="str">
        <f>"03578230108"</f>
        <v>03578230108</v>
      </c>
      <c r="I1538" s="1" t="s">
        <v>1061</v>
      </c>
      <c r="L1538" s="1" t="s">
        <v>43</v>
      </c>
      <c r="M1538" s="1">
        <v>7200</v>
      </c>
      <c r="AG1538" s="1">
        <v>0</v>
      </c>
      <c r="AH1538" s="2">
        <v>45216</v>
      </c>
      <c r="AI1538" s="2">
        <v>45239</v>
      </c>
      <c r="AJ1538" s="2">
        <v>45216</v>
      </c>
    </row>
    <row r="1539" spans="1:36">
      <c r="A1539" s="1" t="str">
        <f>"Z4B3CDF6CA"</f>
        <v>Z4B3CDF6CA</v>
      </c>
      <c r="B1539" s="1" t="str">
        <f t="shared" si="31"/>
        <v>02406911202</v>
      </c>
      <c r="C1539" s="1" t="s">
        <v>13</v>
      </c>
      <c r="D1539" s="1" t="s">
        <v>264</v>
      </c>
      <c r="E1539" s="1" t="s">
        <v>1687</v>
      </c>
      <c r="F1539" s="1" t="s">
        <v>158</v>
      </c>
      <c r="G1539" s="1" t="str">
        <f>"01925460022"</f>
        <v>01925460022</v>
      </c>
      <c r="I1539" s="1" t="s">
        <v>1620</v>
      </c>
      <c r="L1539" s="1" t="s">
        <v>100</v>
      </c>
      <c r="AJ1539" s="2">
        <v>45216</v>
      </c>
    </row>
    <row r="1540" spans="1:36">
      <c r="A1540" s="1" t="str">
        <f>"Z4C3D07B3A"</f>
        <v>Z4C3D07B3A</v>
      </c>
      <c r="B1540" s="1" t="str">
        <f t="shared" si="31"/>
        <v>02406911202</v>
      </c>
      <c r="C1540" s="1" t="s">
        <v>13</v>
      </c>
      <c r="D1540" s="1" t="s">
        <v>264</v>
      </c>
      <c r="E1540" s="1" t="s">
        <v>1688</v>
      </c>
      <c r="F1540" s="1" t="s">
        <v>1554</v>
      </c>
      <c r="G1540" s="1" t="str">
        <f>"04888840487"</f>
        <v>04888840487</v>
      </c>
      <c r="I1540" s="1" t="s">
        <v>1689</v>
      </c>
      <c r="L1540" s="1" t="s">
        <v>43</v>
      </c>
      <c r="M1540" s="1">
        <v>1900</v>
      </c>
      <c r="AG1540" s="1">
        <v>0</v>
      </c>
      <c r="AH1540" s="2">
        <v>45225</v>
      </c>
      <c r="AI1540" s="2">
        <v>45260</v>
      </c>
      <c r="AJ1540" s="2">
        <v>45225</v>
      </c>
    </row>
    <row r="1541" spans="1:36">
      <c r="A1541" s="1" t="str">
        <f>"Z4C3D13C61"</f>
        <v>Z4C3D13C61</v>
      </c>
      <c r="B1541" s="1" t="str">
        <f t="shared" si="31"/>
        <v>02406911202</v>
      </c>
      <c r="C1541" s="1" t="s">
        <v>13</v>
      </c>
      <c r="D1541" s="1" t="s">
        <v>177</v>
      </c>
      <c r="E1541" s="1" t="s">
        <v>1690</v>
      </c>
      <c r="F1541" s="1" t="s">
        <v>158</v>
      </c>
      <c r="G1541" s="1" t="str">
        <f>"03337831204"</f>
        <v>03337831204</v>
      </c>
      <c r="I1541" s="1" t="s">
        <v>1691</v>
      </c>
      <c r="L1541" s="1" t="s">
        <v>43</v>
      </c>
      <c r="M1541" s="1">
        <v>700</v>
      </c>
      <c r="AG1541" s="1">
        <v>700</v>
      </c>
      <c r="AH1541" s="2">
        <v>45230</v>
      </c>
      <c r="AI1541" s="2">
        <v>45291</v>
      </c>
      <c r="AJ1541" s="2">
        <v>45230</v>
      </c>
    </row>
    <row r="1542" spans="1:36">
      <c r="A1542" s="1" t="str">
        <f>"Z4C3D4859F"</f>
        <v>Z4C3D4859F</v>
      </c>
      <c r="B1542" s="1" t="str">
        <f t="shared" si="31"/>
        <v>02406911202</v>
      </c>
      <c r="C1542" s="1" t="s">
        <v>13</v>
      </c>
      <c r="D1542" s="1" t="s">
        <v>180</v>
      </c>
      <c r="E1542" s="1" t="s">
        <v>279</v>
      </c>
      <c r="F1542" s="1" t="s">
        <v>158</v>
      </c>
      <c r="G1542" s="1" t="str">
        <f>"07877400635"</f>
        <v>07877400635</v>
      </c>
      <c r="I1542" s="1" t="s">
        <v>871</v>
      </c>
      <c r="L1542" s="1" t="s">
        <v>43</v>
      </c>
      <c r="M1542" s="1">
        <v>5000</v>
      </c>
      <c r="AG1542" s="1">
        <v>0</v>
      </c>
      <c r="AH1542" s="2">
        <v>45245</v>
      </c>
      <c r="AI1542" s="2">
        <v>45657</v>
      </c>
      <c r="AJ1542" s="2">
        <v>45245</v>
      </c>
    </row>
    <row r="1543" spans="1:36">
      <c r="A1543" s="1" t="str">
        <f>"Z4C3D74C76"</f>
        <v>Z4C3D74C76</v>
      </c>
      <c r="B1543" s="1" t="str">
        <f t="shared" si="31"/>
        <v>02406911202</v>
      </c>
      <c r="C1543" s="1" t="s">
        <v>13</v>
      </c>
      <c r="D1543" s="1" t="s">
        <v>180</v>
      </c>
      <c r="E1543" s="1" t="s">
        <v>220</v>
      </c>
      <c r="F1543" s="1" t="s">
        <v>158</v>
      </c>
      <c r="G1543" s="1" t="str">
        <f>"02152610784"</f>
        <v>02152610784</v>
      </c>
      <c r="I1543" s="1" t="s">
        <v>1024</v>
      </c>
      <c r="L1543" s="1" t="s">
        <v>43</v>
      </c>
      <c r="M1543" s="1">
        <v>6000</v>
      </c>
      <c r="AG1543" s="1">
        <v>0</v>
      </c>
      <c r="AH1543" s="2">
        <v>45258</v>
      </c>
      <c r="AI1543" s="2">
        <v>45657</v>
      </c>
      <c r="AJ1543" s="2">
        <v>45258</v>
      </c>
    </row>
    <row r="1544" spans="1:36">
      <c r="A1544" s="1" t="str">
        <f>"Z4C3D7A8A0"</f>
        <v>Z4C3D7A8A0</v>
      </c>
      <c r="B1544" s="1" t="str">
        <f t="shared" si="31"/>
        <v>02406911202</v>
      </c>
      <c r="C1544" s="1" t="s">
        <v>13</v>
      </c>
      <c r="D1544" s="1" t="s">
        <v>180</v>
      </c>
      <c r="E1544" s="1" t="s">
        <v>220</v>
      </c>
      <c r="F1544" s="1" t="s">
        <v>158</v>
      </c>
      <c r="G1544" s="1" t="str">
        <f>"07862510018"</f>
        <v>07862510018</v>
      </c>
      <c r="I1544" s="1" t="s">
        <v>330</v>
      </c>
      <c r="L1544" s="1" t="s">
        <v>43</v>
      </c>
      <c r="M1544" s="1">
        <v>6000</v>
      </c>
      <c r="AG1544" s="1">
        <v>0</v>
      </c>
      <c r="AH1544" s="2">
        <v>45259</v>
      </c>
      <c r="AI1544" s="2">
        <v>45657</v>
      </c>
      <c r="AJ1544" s="2">
        <v>45259</v>
      </c>
    </row>
    <row r="1545" spans="1:36">
      <c r="A1545" s="1" t="str">
        <f>"Z4D3CD2B64"</f>
        <v>Z4D3CD2B64</v>
      </c>
      <c r="B1545" s="1" t="str">
        <f t="shared" si="31"/>
        <v>02406911202</v>
      </c>
      <c r="C1545" s="1" t="s">
        <v>13</v>
      </c>
      <c r="D1545" s="1" t="s">
        <v>186</v>
      </c>
      <c r="E1545" s="1" t="s">
        <v>353</v>
      </c>
      <c r="F1545" s="1" t="s">
        <v>158</v>
      </c>
      <c r="G1545" s="1" t="str">
        <f>"04247720370"</f>
        <v>04247720370</v>
      </c>
      <c r="I1545" s="1" t="s">
        <v>1692</v>
      </c>
      <c r="L1545" s="1" t="s">
        <v>43</v>
      </c>
      <c r="M1545" s="1">
        <v>302</v>
      </c>
      <c r="AG1545" s="1">
        <v>0</v>
      </c>
      <c r="AH1545" s="2">
        <v>45200</v>
      </c>
      <c r="AI1545" s="2">
        <v>45230</v>
      </c>
      <c r="AJ1545" s="2">
        <v>45200</v>
      </c>
    </row>
    <row r="1546" spans="1:36">
      <c r="A1546" s="1" t="str">
        <f>"Z4D3D3DB4A"</f>
        <v>Z4D3D3DB4A</v>
      </c>
      <c r="B1546" s="1" t="str">
        <f t="shared" si="31"/>
        <v>02406911202</v>
      </c>
      <c r="C1546" s="1" t="s">
        <v>13</v>
      </c>
      <c r="D1546" s="1" t="s">
        <v>177</v>
      </c>
      <c r="E1546" s="1" t="s">
        <v>1693</v>
      </c>
      <c r="F1546" s="1" t="s">
        <v>158</v>
      </c>
      <c r="G1546" s="1" t="str">
        <f>"RSSMRS52C42G535K"</f>
        <v>RSSMRS52C42G535K</v>
      </c>
      <c r="I1546" s="1" t="s">
        <v>411</v>
      </c>
      <c r="L1546" s="1" t="s">
        <v>43</v>
      </c>
      <c r="M1546" s="1">
        <v>1336</v>
      </c>
      <c r="AG1546" s="1">
        <v>1336</v>
      </c>
      <c r="AH1546" s="2">
        <v>45223</v>
      </c>
      <c r="AI1546" s="2">
        <v>45260</v>
      </c>
      <c r="AJ1546" s="2">
        <v>45223</v>
      </c>
    </row>
    <row r="1547" spans="1:36">
      <c r="A1547" s="1" t="str">
        <f>"Z4E3D00812"</f>
        <v>Z4E3D00812</v>
      </c>
      <c r="B1547" s="1" t="str">
        <f t="shared" si="31"/>
        <v>02406911202</v>
      </c>
      <c r="C1547" s="1" t="s">
        <v>13</v>
      </c>
      <c r="D1547" s="1" t="s">
        <v>186</v>
      </c>
      <c r="E1547" s="1" t="s">
        <v>353</v>
      </c>
      <c r="F1547" s="1" t="s">
        <v>158</v>
      </c>
      <c r="G1547" s="1" t="str">
        <f>"01227180336"</f>
        <v>01227180336</v>
      </c>
      <c r="I1547" s="1" t="s">
        <v>1694</v>
      </c>
      <c r="L1547" s="1" t="s">
        <v>43</v>
      </c>
      <c r="M1547" s="1">
        <v>352</v>
      </c>
      <c r="AG1547" s="1">
        <v>0</v>
      </c>
      <c r="AH1547" s="2">
        <v>45200</v>
      </c>
      <c r="AI1547" s="2">
        <v>45291</v>
      </c>
      <c r="AJ1547" s="2">
        <v>45200</v>
      </c>
    </row>
    <row r="1548" spans="1:36">
      <c r="A1548" s="1" t="str">
        <f>"Z4E3D7A82F"</f>
        <v>Z4E3D7A82F</v>
      </c>
      <c r="B1548" s="1" t="str">
        <f t="shared" si="31"/>
        <v>02406911202</v>
      </c>
      <c r="C1548" s="1" t="s">
        <v>13</v>
      </c>
      <c r="D1548" s="1" t="s">
        <v>180</v>
      </c>
      <c r="E1548" s="1" t="s">
        <v>220</v>
      </c>
      <c r="F1548" s="1" t="s">
        <v>158</v>
      </c>
      <c r="G1548" s="1" t="str">
        <f>"00133360081"</f>
        <v>00133360081</v>
      </c>
      <c r="I1548" s="1" t="s">
        <v>188</v>
      </c>
      <c r="L1548" s="1" t="s">
        <v>43</v>
      </c>
      <c r="M1548" s="1">
        <v>6000</v>
      </c>
      <c r="AG1548" s="1">
        <v>0</v>
      </c>
      <c r="AH1548" s="2">
        <v>45259</v>
      </c>
      <c r="AI1548" s="2">
        <v>45657</v>
      </c>
      <c r="AJ1548" s="2">
        <v>45259</v>
      </c>
    </row>
    <row r="1549" spans="1:36">
      <c r="A1549" s="1" t="str">
        <f>"Z4F3D0B1F6"</f>
        <v>Z4F3D0B1F6</v>
      </c>
      <c r="B1549" s="1" t="str">
        <f t="shared" si="31"/>
        <v>02406911202</v>
      </c>
      <c r="C1549" s="1" t="s">
        <v>13</v>
      </c>
      <c r="D1549" s="1" t="s">
        <v>180</v>
      </c>
      <c r="E1549" s="1" t="s">
        <v>281</v>
      </c>
      <c r="F1549" s="1" t="s">
        <v>158</v>
      </c>
      <c r="G1549" s="1" t="str">
        <f>"07796530967"</f>
        <v>07796530967</v>
      </c>
      <c r="I1549" s="1" t="s">
        <v>553</v>
      </c>
      <c r="L1549" s="1" t="s">
        <v>43</v>
      </c>
      <c r="M1549" s="1">
        <v>6000</v>
      </c>
      <c r="AG1549" s="1">
        <v>2361</v>
      </c>
      <c r="AH1549" s="2">
        <v>45226</v>
      </c>
      <c r="AI1549" s="2">
        <v>45291</v>
      </c>
      <c r="AJ1549" s="2">
        <v>45226</v>
      </c>
    </row>
    <row r="1550" spans="1:36">
      <c r="A1550" s="1" t="str">
        <f>"Z4F3D10B2F"</f>
        <v>Z4F3D10B2F</v>
      </c>
      <c r="B1550" s="1" t="str">
        <f t="shared" si="31"/>
        <v>02406911202</v>
      </c>
      <c r="C1550" s="1" t="s">
        <v>13</v>
      </c>
      <c r="D1550" s="1" t="s">
        <v>180</v>
      </c>
      <c r="E1550" s="1" t="s">
        <v>296</v>
      </c>
      <c r="F1550" s="1" t="s">
        <v>158</v>
      </c>
      <c r="G1550" s="1" t="str">
        <f>"02154270595"</f>
        <v>02154270595</v>
      </c>
      <c r="I1550" s="1" t="s">
        <v>1695</v>
      </c>
      <c r="L1550" s="1" t="s">
        <v>43</v>
      </c>
      <c r="M1550" s="1">
        <v>5000</v>
      </c>
      <c r="AG1550" s="1">
        <v>0</v>
      </c>
      <c r="AH1550" s="2">
        <v>45229</v>
      </c>
      <c r="AI1550" s="2">
        <v>45291</v>
      </c>
      <c r="AJ1550" s="2">
        <v>45229</v>
      </c>
    </row>
    <row r="1551" spans="1:36">
      <c r="A1551" s="1" t="str">
        <f>"Z4F3E03FA5"</f>
        <v>Z4F3E03FA5</v>
      </c>
      <c r="B1551" s="1" t="str">
        <f t="shared" si="31"/>
        <v>02406911202</v>
      </c>
      <c r="C1551" s="1" t="s">
        <v>13</v>
      </c>
      <c r="D1551" s="1" t="s">
        <v>264</v>
      </c>
      <c r="E1551" s="1" t="s">
        <v>1696</v>
      </c>
      <c r="F1551" s="1" t="s">
        <v>158</v>
      </c>
      <c r="G1551" s="1" t="str">
        <f>"10127601002"</f>
        <v>10127601002</v>
      </c>
      <c r="I1551" s="1" t="s">
        <v>1697</v>
      </c>
      <c r="L1551" s="1" t="s">
        <v>43</v>
      </c>
      <c r="M1551" s="1">
        <v>251</v>
      </c>
      <c r="AG1551" s="1">
        <v>0</v>
      </c>
      <c r="AH1551" s="2">
        <v>45289</v>
      </c>
      <c r="AI1551" s="2">
        <v>45291</v>
      </c>
      <c r="AJ1551" s="2">
        <v>45289</v>
      </c>
    </row>
    <row r="1552" spans="1:36">
      <c r="A1552" s="1" t="str">
        <f>"Z503C9AFF9"</f>
        <v>Z503C9AFF9</v>
      </c>
      <c r="B1552" s="1" t="str">
        <f t="shared" si="31"/>
        <v>02406911202</v>
      </c>
      <c r="C1552" s="1" t="s">
        <v>13</v>
      </c>
      <c r="D1552" s="1" t="s">
        <v>180</v>
      </c>
      <c r="E1552" s="1" t="s">
        <v>281</v>
      </c>
      <c r="F1552" s="1" t="s">
        <v>158</v>
      </c>
      <c r="G1552" s="1" t="str">
        <f>"02971380247"</f>
        <v>02971380247</v>
      </c>
      <c r="I1552" s="1" t="s">
        <v>1698</v>
      </c>
      <c r="L1552" s="1" t="s">
        <v>43</v>
      </c>
      <c r="M1552" s="1">
        <v>6000</v>
      </c>
      <c r="AG1552" s="1">
        <v>5800</v>
      </c>
      <c r="AH1552" s="2">
        <v>45196</v>
      </c>
      <c r="AI1552" s="2">
        <v>45291</v>
      </c>
      <c r="AJ1552" s="2">
        <v>45196</v>
      </c>
    </row>
    <row r="1553" spans="1:36">
      <c r="A1553" s="1" t="str">
        <f>"Z503CA7CE4"</f>
        <v>Z503CA7CE4</v>
      </c>
      <c r="B1553" s="1" t="str">
        <f t="shared" si="31"/>
        <v>02406911202</v>
      </c>
      <c r="C1553" s="1" t="s">
        <v>13</v>
      </c>
      <c r="D1553" s="1" t="s">
        <v>167</v>
      </c>
      <c r="E1553" s="1" t="s">
        <v>1302</v>
      </c>
      <c r="F1553" s="1" t="s">
        <v>151</v>
      </c>
      <c r="G1553" s="1" t="str">
        <f>"01167730355"</f>
        <v>01167730355</v>
      </c>
      <c r="I1553" s="1" t="s">
        <v>1699</v>
      </c>
      <c r="L1553" s="1" t="s">
        <v>43</v>
      </c>
      <c r="M1553" s="1">
        <v>840</v>
      </c>
      <c r="AG1553" s="1">
        <v>0</v>
      </c>
      <c r="AH1553" s="2">
        <v>45200</v>
      </c>
      <c r="AI1553" s="2">
        <v>45382</v>
      </c>
      <c r="AJ1553" s="2">
        <v>45200</v>
      </c>
    </row>
    <row r="1554" spans="1:36">
      <c r="A1554" s="1" t="str">
        <f>"Z503D2753F"</f>
        <v>Z503D2753F</v>
      </c>
      <c r="B1554" s="1" t="str">
        <f t="shared" si="31"/>
        <v>02406911202</v>
      </c>
      <c r="C1554" s="1" t="s">
        <v>13</v>
      </c>
      <c r="D1554" s="1" t="s">
        <v>177</v>
      </c>
      <c r="E1554" s="1" t="s">
        <v>1700</v>
      </c>
      <c r="F1554" s="1" t="s">
        <v>158</v>
      </c>
      <c r="G1554" s="1" t="str">
        <f>"01494480229"</f>
        <v>01494480229</v>
      </c>
      <c r="I1554" s="1" t="s">
        <v>1701</v>
      </c>
      <c r="L1554" s="1" t="s">
        <v>43</v>
      </c>
      <c r="M1554" s="1">
        <v>1700</v>
      </c>
      <c r="AG1554" s="1">
        <v>0</v>
      </c>
      <c r="AH1554" s="2">
        <v>45237</v>
      </c>
      <c r="AI1554" s="2">
        <v>45291</v>
      </c>
      <c r="AJ1554" s="2">
        <v>45237</v>
      </c>
    </row>
    <row r="1555" spans="1:36">
      <c r="A1555" s="1" t="str">
        <f>"Z503D3327A"</f>
        <v>Z503D3327A</v>
      </c>
      <c r="B1555" s="1" t="str">
        <f t="shared" si="31"/>
        <v>02406911202</v>
      </c>
      <c r="C1555" s="1" t="s">
        <v>13</v>
      </c>
      <c r="D1555" s="1" t="s">
        <v>180</v>
      </c>
      <c r="E1555" s="1" t="s">
        <v>281</v>
      </c>
      <c r="F1555" s="1" t="s">
        <v>158</v>
      </c>
      <c r="G1555" s="1" t="str">
        <f>"07093190960"</f>
        <v>07093190960</v>
      </c>
      <c r="I1555" s="1" t="s">
        <v>482</v>
      </c>
      <c r="L1555" s="1" t="s">
        <v>43</v>
      </c>
      <c r="M1555" s="1">
        <v>5000</v>
      </c>
      <c r="AG1555" s="1">
        <v>0</v>
      </c>
      <c r="AH1555" s="2">
        <v>45239</v>
      </c>
      <c r="AI1555" s="2">
        <v>45291</v>
      </c>
      <c r="AJ1555" s="2">
        <v>45239</v>
      </c>
    </row>
    <row r="1556" spans="1:36">
      <c r="A1556" s="1" t="str">
        <f>"Z503D4C573"</f>
        <v>Z503D4C573</v>
      </c>
      <c r="B1556" s="1" t="str">
        <f t="shared" si="31"/>
        <v>02406911202</v>
      </c>
      <c r="C1556" s="1" t="s">
        <v>13</v>
      </c>
      <c r="D1556" s="1" t="s">
        <v>167</v>
      </c>
      <c r="E1556" s="1" t="s">
        <v>1403</v>
      </c>
      <c r="F1556" s="1" t="s">
        <v>151</v>
      </c>
      <c r="G1556" s="1" t="str">
        <f>"12572900152"</f>
        <v>12572900152</v>
      </c>
      <c r="I1556" s="1" t="s">
        <v>335</v>
      </c>
      <c r="L1556" s="1" t="s">
        <v>43</v>
      </c>
      <c r="M1556" s="1">
        <v>10000</v>
      </c>
      <c r="AG1556" s="1">
        <v>0</v>
      </c>
      <c r="AH1556" s="2">
        <v>45250</v>
      </c>
      <c r="AI1556" s="2">
        <v>45615</v>
      </c>
      <c r="AJ1556" s="2">
        <v>45250</v>
      </c>
    </row>
    <row r="1557" spans="1:36">
      <c r="A1557" s="1" t="str">
        <f>"Z503D4E7C4"</f>
        <v>Z503D4E7C4</v>
      </c>
      <c r="B1557" s="1" t="str">
        <f t="shared" si="31"/>
        <v>02406911202</v>
      </c>
      <c r="C1557" s="1" t="s">
        <v>13</v>
      </c>
      <c r="D1557" s="1" t="s">
        <v>180</v>
      </c>
      <c r="E1557" s="1" t="s">
        <v>1702</v>
      </c>
      <c r="F1557" s="1" t="s">
        <v>158</v>
      </c>
      <c r="G1557" s="1" t="str">
        <f>"08126390155"</f>
        <v>08126390155</v>
      </c>
      <c r="I1557" s="1" t="s">
        <v>341</v>
      </c>
      <c r="L1557" s="1" t="s">
        <v>43</v>
      </c>
      <c r="M1557" s="1">
        <v>39999</v>
      </c>
      <c r="AG1557" s="1">
        <v>0</v>
      </c>
      <c r="AH1557" s="2">
        <v>45254</v>
      </c>
      <c r="AI1557" s="2">
        <v>45657</v>
      </c>
      <c r="AJ1557" s="2">
        <v>45254</v>
      </c>
    </row>
    <row r="1558" spans="1:36">
      <c r="A1558" s="1" t="str">
        <f>"Z503DFFC43"</f>
        <v>Z503DFFC43</v>
      </c>
      <c r="B1558" s="1" t="str">
        <f t="shared" si="31"/>
        <v>02406911202</v>
      </c>
      <c r="C1558" s="1" t="s">
        <v>13</v>
      </c>
      <c r="D1558" s="1" t="s">
        <v>186</v>
      </c>
      <c r="E1558" s="1" t="s">
        <v>353</v>
      </c>
      <c r="F1558" s="1" t="s">
        <v>158</v>
      </c>
      <c r="G1558" s="1" t="str">
        <f>"03584631208"</f>
        <v>03584631208</v>
      </c>
      <c r="I1558" s="1" t="s">
        <v>1534</v>
      </c>
      <c r="L1558" s="1" t="s">
        <v>43</v>
      </c>
      <c r="M1558" s="1">
        <v>400</v>
      </c>
      <c r="AG1558" s="1">
        <v>0</v>
      </c>
      <c r="AH1558" s="2">
        <v>45231</v>
      </c>
      <c r="AI1558" s="2">
        <v>45260</v>
      </c>
      <c r="AJ1558" s="2">
        <v>45231</v>
      </c>
    </row>
    <row r="1559" spans="1:36">
      <c r="A1559" s="1" t="str">
        <f>"Z513D0A2D0"</f>
        <v>Z513D0A2D0</v>
      </c>
      <c r="B1559" s="1" t="str">
        <f t="shared" si="31"/>
        <v>02406911202</v>
      </c>
      <c r="C1559" s="1" t="s">
        <v>13</v>
      </c>
      <c r="D1559" s="1" t="s">
        <v>180</v>
      </c>
      <c r="E1559" s="1" t="s">
        <v>279</v>
      </c>
      <c r="F1559" s="1" t="s">
        <v>158</v>
      </c>
      <c r="G1559" s="1" t="str">
        <f>"08860270969"</f>
        <v>08860270969</v>
      </c>
      <c r="I1559" s="1" t="s">
        <v>969</v>
      </c>
      <c r="L1559" s="1" t="s">
        <v>43</v>
      </c>
      <c r="M1559" s="1">
        <v>5000</v>
      </c>
      <c r="AG1559" s="1">
        <v>0</v>
      </c>
      <c r="AH1559" s="2">
        <v>45226</v>
      </c>
      <c r="AI1559" s="2">
        <v>45291</v>
      </c>
      <c r="AJ1559" s="2">
        <v>45226</v>
      </c>
    </row>
    <row r="1560" spans="1:36">
      <c r="A1560" s="1" t="str">
        <f>"Z513D13FB0"</f>
        <v>Z513D13FB0</v>
      </c>
      <c r="B1560" s="1" t="str">
        <f t="shared" si="31"/>
        <v>02406911202</v>
      </c>
      <c r="C1560" s="1" t="s">
        <v>13</v>
      </c>
      <c r="D1560" s="1" t="s">
        <v>177</v>
      </c>
      <c r="E1560" s="1" t="s">
        <v>1703</v>
      </c>
      <c r="F1560" s="1" t="s">
        <v>158</v>
      </c>
      <c r="G1560" s="1" t="str">
        <f>"03363351200"</f>
        <v>03363351200</v>
      </c>
      <c r="I1560" s="1" t="s">
        <v>1704</v>
      </c>
      <c r="L1560" s="1" t="s">
        <v>43</v>
      </c>
      <c r="M1560" s="1">
        <v>1065.57</v>
      </c>
      <c r="AG1560" s="1">
        <v>0</v>
      </c>
      <c r="AH1560" s="2">
        <v>45230</v>
      </c>
      <c r="AI1560" s="2">
        <v>45291</v>
      </c>
      <c r="AJ1560" s="2">
        <v>45230</v>
      </c>
    </row>
    <row r="1561" spans="1:36">
      <c r="A1561" s="1" t="str">
        <f>"Z513D7A126"</f>
        <v>Z513D7A126</v>
      </c>
      <c r="B1561" s="1" t="str">
        <f t="shared" si="31"/>
        <v>02406911202</v>
      </c>
      <c r="C1561" s="1" t="s">
        <v>13</v>
      </c>
      <c r="D1561" s="1" t="s">
        <v>186</v>
      </c>
      <c r="E1561" s="1" t="s">
        <v>1705</v>
      </c>
      <c r="F1561" s="1" t="s">
        <v>158</v>
      </c>
      <c r="G1561" s="1" t="str">
        <f>"09563660969"</f>
        <v>09563660969</v>
      </c>
      <c r="I1561" s="1" t="s">
        <v>802</v>
      </c>
      <c r="L1561" s="1" t="s">
        <v>43</v>
      </c>
      <c r="M1561" s="1">
        <v>4999</v>
      </c>
      <c r="AG1561" s="1">
        <v>0</v>
      </c>
      <c r="AH1561" s="2">
        <v>45258</v>
      </c>
      <c r="AI1561" s="2">
        <v>46387</v>
      </c>
      <c r="AJ1561" s="2">
        <v>45258</v>
      </c>
    </row>
    <row r="1562" spans="1:36">
      <c r="A1562" s="1" t="str">
        <f>"Z513DBC8F5"</f>
        <v>Z513DBC8F5</v>
      </c>
      <c r="B1562" s="1" t="str">
        <f t="shared" si="31"/>
        <v>02406911202</v>
      </c>
      <c r="C1562" s="1" t="s">
        <v>13</v>
      </c>
      <c r="D1562" s="1" t="s">
        <v>180</v>
      </c>
      <c r="E1562" s="1" t="s">
        <v>281</v>
      </c>
      <c r="F1562" s="1" t="s">
        <v>158</v>
      </c>
      <c r="G1562" s="1" t="str">
        <f>"02417881204"</f>
        <v>02417881204</v>
      </c>
      <c r="I1562" s="1" t="s">
        <v>328</v>
      </c>
      <c r="L1562" s="1" t="s">
        <v>43</v>
      </c>
      <c r="M1562" s="1">
        <v>6000</v>
      </c>
      <c r="AG1562" s="1">
        <v>0</v>
      </c>
      <c r="AH1562" s="2">
        <v>45279</v>
      </c>
      <c r="AI1562" s="2">
        <v>45657</v>
      </c>
      <c r="AJ1562" s="2">
        <v>45279</v>
      </c>
    </row>
    <row r="1563" spans="1:36">
      <c r="A1563" s="1" t="str">
        <f>"Z523CF289F"</f>
        <v>Z523CF289F</v>
      </c>
      <c r="B1563" s="1" t="str">
        <f t="shared" si="31"/>
        <v>02406911202</v>
      </c>
      <c r="C1563" s="1" t="s">
        <v>13</v>
      </c>
      <c r="D1563" s="1" t="s">
        <v>180</v>
      </c>
      <c r="E1563" s="1" t="s">
        <v>281</v>
      </c>
      <c r="F1563" s="1" t="s">
        <v>158</v>
      </c>
      <c r="G1563" s="1" t="str">
        <f>"00972790109"</f>
        <v>00972790109</v>
      </c>
      <c r="I1563" s="1" t="s">
        <v>934</v>
      </c>
      <c r="L1563" s="1" t="s">
        <v>43</v>
      </c>
      <c r="M1563" s="1">
        <v>6000</v>
      </c>
      <c r="AG1563" s="1">
        <v>0</v>
      </c>
      <c r="AH1563" s="2">
        <v>45219</v>
      </c>
      <c r="AI1563" s="2">
        <v>45291</v>
      </c>
      <c r="AJ1563" s="2">
        <v>45219</v>
      </c>
    </row>
    <row r="1564" spans="1:36">
      <c r="A1564" s="1" t="str">
        <f>"Z523DB2387"</f>
        <v>Z523DB2387</v>
      </c>
      <c r="B1564" s="1" t="str">
        <f t="shared" si="31"/>
        <v>02406911202</v>
      </c>
      <c r="C1564" s="1" t="s">
        <v>13</v>
      </c>
      <c r="D1564" s="1" t="s">
        <v>167</v>
      </c>
      <c r="E1564" s="1" t="s">
        <v>1706</v>
      </c>
      <c r="F1564" s="1" t="s">
        <v>158</v>
      </c>
      <c r="G1564" s="1" t="str">
        <f>"09864610150"</f>
        <v>09864610150</v>
      </c>
      <c r="I1564" s="1" t="s">
        <v>1707</v>
      </c>
      <c r="L1564" s="1" t="s">
        <v>43</v>
      </c>
      <c r="M1564" s="1">
        <v>560</v>
      </c>
      <c r="AG1564" s="1">
        <v>0</v>
      </c>
      <c r="AH1564" s="2">
        <v>45280</v>
      </c>
      <c r="AI1564" s="2">
        <v>45291</v>
      </c>
      <c r="AJ1564" s="2">
        <v>45280</v>
      </c>
    </row>
    <row r="1565" spans="1:36">
      <c r="A1565" s="1" t="str">
        <f>"Z533CCA2C3"</f>
        <v>Z533CCA2C3</v>
      </c>
      <c r="B1565" s="1" t="str">
        <f t="shared" si="31"/>
        <v>02406911202</v>
      </c>
      <c r="C1565" s="1" t="s">
        <v>13</v>
      </c>
      <c r="D1565" s="1" t="s">
        <v>180</v>
      </c>
      <c r="E1565" s="1" t="s">
        <v>281</v>
      </c>
      <c r="F1565" s="1" t="s">
        <v>158</v>
      </c>
      <c r="G1565" s="1" t="str">
        <f>"12572900152"</f>
        <v>12572900152</v>
      </c>
      <c r="I1565" s="1" t="s">
        <v>335</v>
      </c>
      <c r="L1565" s="1" t="s">
        <v>43</v>
      </c>
      <c r="M1565" s="1">
        <v>6000</v>
      </c>
      <c r="AG1565" s="1">
        <v>6709.8</v>
      </c>
      <c r="AH1565" s="2">
        <v>45209</v>
      </c>
      <c r="AI1565" s="2">
        <v>45291</v>
      </c>
      <c r="AJ1565" s="2">
        <v>45209</v>
      </c>
    </row>
    <row r="1566" spans="1:36">
      <c r="A1566" s="1" t="str">
        <f>"Z533DB86D3"</f>
        <v>Z533DB86D3</v>
      </c>
      <c r="B1566" s="1" t="str">
        <f t="shared" si="31"/>
        <v>02406911202</v>
      </c>
      <c r="C1566" s="1" t="s">
        <v>13</v>
      </c>
      <c r="D1566" s="1" t="s">
        <v>180</v>
      </c>
      <c r="E1566" s="1" t="s">
        <v>281</v>
      </c>
      <c r="F1566" s="1" t="s">
        <v>158</v>
      </c>
      <c r="G1566" s="1" t="str">
        <f>"00514240142"</f>
        <v>00514240142</v>
      </c>
      <c r="I1566" s="1" t="s">
        <v>492</v>
      </c>
      <c r="L1566" s="1" t="s">
        <v>43</v>
      </c>
      <c r="M1566" s="1">
        <v>6000</v>
      </c>
      <c r="AG1566" s="1">
        <v>0</v>
      </c>
      <c r="AH1566" s="2">
        <v>45272</v>
      </c>
      <c r="AI1566" s="2">
        <v>45657</v>
      </c>
      <c r="AJ1566" s="2">
        <v>45272</v>
      </c>
    </row>
    <row r="1567" spans="1:36">
      <c r="A1567" s="1" t="str">
        <f>"Z543CA5CA2"</f>
        <v>Z543CA5CA2</v>
      </c>
      <c r="B1567" s="1" t="str">
        <f t="shared" si="31"/>
        <v>02406911202</v>
      </c>
      <c r="C1567" s="1" t="s">
        <v>13</v>
      </c>
      <c r="D1567" s="1" t="s">
        <v>186</v>
      </c>
      <c r="E1567" s="1" t="s">
        <v>1708</v>
      </c>
      <c r="F1567" s="1" t="s">
        <v>158</v>
      </c>
      <c r="G1567" s="1" t="str">
        <f>"08864080158"</f>
        <v>08864080158</v>
      </c>
      <c r="I1567" s="1" t="s">
        <v>438</v>
      </c>
      <c r="L1567" s="1" t="s">
        <v>43</v>
      </c>
      <c r="M1567" s="1">
        <v>5998.8</v>
      </c>
      <c r="AG1567" s="1">
        <v>0</v>
      </c>
      <c r="AH1567" s="2">
        <v>45198</v>
      </c>
      <c r="AI1567" s="2">
        <v>46022</v>
      </c>
      <c r="AJ1567" s="2">
        <v>45198</v>
      </c>
    </row>
    <row r="1568" spans="1:36">
      <c r="A1568" s="1" t="str">
        <f>"Z543CE2A3D"</f>
        <v>Z543CE2A3D</v>
      </c>
      <c r="B1568" s="1" t="str">
        <f t="shared" si="31"/>
        <v>02406911202</v>
      </c>
      <c r="C1568" s="1" t="s">
        <v>13</v>
      </c>
      <c r="D1568" s="1" t="s">
        <v>180</v>
      </c>
      <c r="E1568" s="1" t="s">
        <v>181</v>
      </c>
      <c r="F1568" s="1" t="s">
        <v>158</v>
      </c>
      <c r="G1568" s="1" t="str">
        <f>"11654150157"</f>
        <v>11654150157</v>
      </c>
      <c r="I1568" s="1" t="s">
        <v>263</v>
      </c>
      <c r="L1568" s="1" t="s">
        <v>43</v>
      </c>
      <c r="M1568" s="1">
        <v>6000</v>
      </c>
      <c r="AG1568" s="1">
        <v>1955.4</v>
      </c>
      <c r="AH1568" s="2">
        <v>45216</v>
      </c>
      <c r="AI1568" s="2">
        <v>45291</v>
      </c>
      <c r="AJ1568" s="2">
        <v>45216</v>
      </c>
    </row>
    <row r="1569" spans="1:36">
      <c r="A1569" s="1" t="str">
        <f>"Z543D5BD9B"</f>
        <v>Z543D5BD9B</v>
      </c>
      <c r="B1569" s="1" t="str">
        <f t="shared" si="31"/>
        <v>02406911202</v>
      </c>
      <c r="C1569" s="1" t="s">
        <v>13</v>
      </c>
      <c r="D1569" s="1" t="s">
        <v>164</v>
      </c>
      <c r="E1569" s="1" t="s">
        <v>1709</v>
      </c>
      <c r="F1569" s="1" t="s">
        <v>39</v>
      </c>
      <c r="G1569" s="1" t="str">
        <f>"03471940373"</f>
        <v>03471940373</v>
      </c>
      <c r="I1569" s="1" t="s">
        <v>1574</v>
      </c>
      <c r="L1569" s="1" t="s">
        <v>43</v>
      </c>
      <c r="M1569" s="1">
        <v>4307.8</v>
      </c>
      <c r="AG1569" s="1">
        <v>0</v>
      </c>
      <c r="AH1569" s="2">
        <v>45250</v>
      </c>
      <c r="AI1569" s="2">
        <v>45291</v>
      </c>
      <c r="AJ1569" s="2">
        <v>45250</v>
      </c>
    </row>
    <row r="1570" spans="1:36">
      <c r="A1570" s="1" t="str">
        <f>"Z543D6DBE7"</f>
        <v>Z543D6DBE7</v>
      </c>
      <c r="B1570" s="1" t="str">
        <f t="shared" si="31"/>
        <v>02406911202</v>
      </c>
      <c r="C1570" s="1" t="s">
        <v>13</v>
      </c>
      <c r="D1570" s="1" t="s">
        <v>264</v>
      </c>
      <c r="E1570" s="1" t="s">
        <v>1710</v>
      </c>
      <c r="F1570" s="1" t="s">
        <v>158</v>
      </c>
      <c r="G1570" s="1" t="str">
        <f>"02503150373"</f>
        <v>02503150373</v>
      </c>
      <c r="I1570" s="1" t="s">
        <v>1537</v>
      </c>
      <c r="L1570" s="1" t="s">
        <v>43</v>
      </c>
      <c r="M1570" s="1">
        <v>3480</v>
      </c>
      <c r="AG1570" s="1">
        <v>0</v>
      </c>
      <c r="AH1570" s="2">
        <v>45253</v>
      </c>
      <c r="AI1570" s="2">
        <v>45260</v>
      </c>
      <c r="AJ1570" s="2">
        <v>45253</v>
      </c>
    </row>
    <row r="1571" spans="1:36">
      <c r="A1571" s="1" t="str">
        <f>"Z543DCFE9D"</f>
        <v>Z543DCFE9D</v>
      </c>
      <c r="B1571" s="1" t="str">
        <f t="shared" si="31"/>
        <v>02406911202</v>
      </c>
      <c r="C1571" s="1" t="s">
        <v>13</v>
      </c>
      <c r="D1571" s="1" t="s">
        <v>180</v>
      </c>
      <c r="E1571" s="1" t="s">
        <v>281</v>
      </c>
      <c r="F1571" s="1" t="s">
        <v>158</v>
      </c>
      <c r="G1571" s="1" t="str">
        <f>"15685941005"</f>
        <v>15685941005</v>
      </c>
      <c r="I1571" s="1" t="s">
        <v>1495</v>
      </c>
      <c r="L1571" s="1" t="s">
        <v>43</v>
      </c>
      <c r="M1571" s="1">
        <v>6000</v>
      </c>
      <c r="AG1571" s="1">
        <v>0</v>
      </c>
      <c r="AH1571" s="2">
        <v>45274</v>
      </c>
      <c r="AI1571" s="2">
        <v>45657</v>
      </c>
      <c r="AJ1571" s="2">
        <v>45274</v>
      </c>
    </row>
    <row r="1572" spans="1:36">
      <c r="A1572" s="1" t="str">
        <f>"Z553D691A8"</f>
        <v>Z553D691A8</v>
      </c>
      <c r="B1572" s="1" t="str">
        <f t="shared" si="31"/>
        <v>02406911202</v>
      </c>
      <c r="C1572" s="1" t="s">
        <v>13</v>
      </c>
      <c r="D1572" s="1" t="s">
        <v>180</v>
      </c>
      <c r="E1572" s="1" t="s">
        <v>296</v>
      </c>
      <c r="F1572" s="1" t="s">
        <v>158</v>
      </c>
      <c r="G1572" s="1" t="str">
        <f>"07862510018"</f>
        <v>07862510018</v>
      </c>
      <c r="I1572" s="1" t="s">
        <v>330</v>
      </c>
      <c r="L1572" s="1" t="s">
        <v>43</v>
      </c>
      <c r="M1572" s="1">
        <v>5000</v>
      </c>
      <c r="AG1572" s="1">
        <v>0</v>
      </c>
      <c r="AH1572" s="2">
        <v>45253</v>
      </c>
      <c r="AI1572" s="2">
        <v>45291</v>
      </c>
      <c r="AJ1572" s="2">
        <v>45253</v>
      </c>
    </row>
    <row r="1573" spans="1:36">
      <c r="A1573" s="1" t="str">
        <f>"Z563CC4A59"</f>
        <v>Z563CC4A59</v>
      </c>
      <c r="B1573" s="1" t="str">
        <f t="shared" si="31"/>
        <v>02406911202</v>
      </c>
      <c r="C1573" s="1" t="s">
        <v>13</v>
      </c>
      <c r="D1573" s="1" t="s">
        <v>186</v>
      </c>
      <c r="E1573" s="1" t="s">
        <v>1711</v>
      </c>
      <c r="F1573" s="1" t="s">
        <v>158</v>
      </c>
      <c r="G1573" s="1" t="str">
        <f>"08374040585"</f>
        <v>08374040585</v>
      </c>
      <c r="I1573" s="1" t="s">
        <v>1712</v>
      </c>
      <c r="L1573" s="1" t="s">
        <v>43</v>
      </c>
      <c r="M1573" s="1">
        <v>4999</v>
      </c>
      <c r="AG1573" s="1">
        <v>0</v>
      </c>
      <c r="AH1573" s="2">
        <v>45208</v>
      </c>
      <c r="AI1573" s="2">
        <v>45657</v>
      </c>
      <c r="AJ1573" s="2">
        <v>45208</v>
      </c>
    </row>
    <row r="1574" spans="1:36">
      <c r="A1574" s="1" t="str">
        <f>"Z573CB2866"</f>
        <v>Z573CB2866</v>
      </c>
      <c r="B1574" s="1" t="str">
        <f t="shared" si="31"/>
        <v>02406911202</v>
      </c>
      <c r="C1574" s="1" t="s">
        <v>13</v>
      </c>
      <c r="D1574" s="1" t="s">
        <v>177</v>
      </c>
      <c r="E1574" s="1" t="s">
        <v>1713</v>
      </c>
      <c r="F1574" s="1" t="s">
        <v>158</v>
      </c>
      <c r="G1574" s="1" t="str">
        <f>"GRGDNL95P24A944Z"</f>
        <v>GRGDNL95P24A944Z</v>
      </c>
      <c r="I1574" s="1" t="s">
        <v>1714</v>
      </c>
      <c r="L1574" s="1" t="s">
        <v>43</v>
      </c>
      <c r="M1574" s="1">
        <v>20000</v>
      </c>
      <c r="AG1574" s="1">
        <v>0</v>
      </c>
      <c r="AH1574" s="2">
        <v>45200</v>
      </c>
      <c r="AI1574" s="2">
        <v>45291</v>
      </c>
      <c r="AJ1574" s="2">
        <v>45200</v>
      </c>
    </row>
    <row r="1575" spans="1:36">
      <c r="A1575" s="1" t="str">
        <f>"Z573CDF715"</f>
        <v>Z573CDF715</v>
      </c>
      <c r="B1575" s="1" t="str">
        <f t="shared" si="31"/>
        <v>02406911202</v>
      </c>
      <c r="C1575" s="1" t="s">
        <v>13</v>
      </c>
      <c r="D1575" s="1" t="s">
        <v>264</v>
      </c>
      <c r="E1575" s="1" t="s">
        <v>1715</v>
      </c>
      <c r="F1575" s="1" t="s">
        <v>158</v>
      </c>
      <c r="G1575" s="1" t="str">
        <f>"04785851009"</f>
        <v>04785851009</v>
      </c>
      <c r="I1575" s="1" t="s">
        <v>1716</v>
      </c>
      <c r="L1575" s="1" t="s">
        <v>43</v>
      </c>
      <c r="M1575" s="1">
        <v>1600</v>
      </c>
      <c r="AG1575" s="1">
        <v>0</v>
      </c>
      <c r="AH1575" s="2">
        <v>45216</v>
      </c>
      <c r="AI1575" s="2">
        <v>45223</v>
      </c>
      <c r="AJ1575" s="2">
        <v>45216</v>
      </c>
    </row>
    <row r="1576" spans="1:36">
      <c r="A1576" s="1" t="str">
        <f>"Z573CF6CA4"</f>
        <v>Z573CF6CA4</v>
      </c>
      <c r="B1576" s="1" t="str">
        <f t="shared" si="31"/>
        <v>02406911202</v>
      </c>
      <c r="C1576" s="1" t="s">
        <v>13</v>
      </c>
      <c r="D1576" s="1" t="s">
        <v>186</v>
      </c>
      <c r="E1576" s="1" t="s">
        <v>1717</v>
      </c>
      <c r="F1576" s="1" t="s">
        <v>158</v>
      </c>
      <c r="G1576" s="1" t="str">
        <f>"02672850357"</f>
        <v>02672850357</v>
      </c>
      <c r="I1576" s="1" t="s">
        <v>1718</v>
      </c>
      <c r="L1576" s="1" t="s">
        <v>43</v>
      </c>
      <c r="M1576" s="1">
        <v>4000</v>
      </c>
      <c r="AG1576" s="1">
        <v>0</v>
      </c>
      <c r="AH1576" s="2">
        <v>45222</v>
      </c>
      <c r="AI1576" s="2">
        <v>45657</v>
      </c>
      <c r="AJ1576" s="2">
        <v>45222</v>
      </c>
    </row>
    <row r="1577" spans="1:36">
      <c r="A1577" s="1" t="str">
        <f>"Z573D33849"</f>
        <v>Z573D33849</v>
      </c>
      <c r="B1577" s="1" t="str">
        <f t="shared" si="31"/>
        <v>02406911202</v>
      </c>
      <c r="C1577" s="1" t="s">
        <v>13</v>
      </c>
      <c r="D1577" s="1" t="s">
        <v>167</v>
      </c>
      <c r="E1577" s="1" t="s">
        <v>1662</v>
      </c>
      <c r="F1577" s="1" t="s">
        <v>151</v>
      </c>
      <c r="G1577" s="1" t="str">
        <f>"00503151201"</f>
        <v>00503151201</v>
      </c>
      <c r="I1577" s="1" t="s">
        <v>1719</v>
      </c>
      <c r="L1577" s="1" t="s">
        <v>43</v>
      </c>
      <c r="M1577" s="1">
        <v>9669.67</v>
      </c>
      <c r="AG1577" s="1">
        <v>0</v>
      </c>
      <c r="AH1577" s="2">
        <v>45239</v>
      </c>
      <c r="AI1577" s="2">
        <v>45351</v>
      </c>
      <c r="AJ1577" s="2">
        <v>45239</v>
      </c>
    </row>
    <row r="1578" spans="1:36">
      <c r="A1578" s="1" t="str">
        <f>"Z573D7A0CE"</f>
        <v>Z573D7A0CE</v>
      </c>
      <c r="B1578" s="1" t="str">
        <f t="shared" si="31"/>
        <v>02406911202</v>
      </c>
      <c r="C1578" s="1" t="s">
        <v>13</v>
      </c>
      <c r="D1578" s="1" t="s">
        <v>180</v>
      </c>
      <c r="E1578" s="1" t="s">
        <v>281</v>
      </c>
      <c r="F1578" s="1" t="s">
        <v>158</v>
      </c>
      <c r="G1578" s="1" t="str">
        <f>"08082461008"</f>
        <v>08082461008</v>
      </c>
      <c r="I1578" s="1" t="s">
        <v>88</v>
      </c>
      <c r="L1578" s="1" t="s">
        <v>43</v>
      </c>
      <c r="M1578" s="1">
        <v>6000</v>
      </c>
      <c r="AG1578" s="1">
        <v>0</v>
      </c>
      <c r="AH1578" s="2">
        <v>45258</v>
      </c>
      <c r="AI1578" s="2">
        <v>45291</v>
      </c>
      <c r="AJ1578" s="2">
        <v>45258</v>
      </c>
    </row>
    <row r="1579" spans="1:36">
      <c r="A1579" s="1" t="str">
        <f>"Z583CDFC41"</f>
        <v>Z583CDFC41</v>
      </c>
      <c r="B1579" s="1" t="str">
        <f t="shared" si="31"/>
        <v>02406911202</v>
      </c>
      <c r="C1579" s="1" t="s">
        <v>13</v>
      </c>
      <c r="D1579" s="1" t="s">
        <v>186</v>
      </c>
      <c r="E1579" s="1" t="s">
        <v>1720</v>
      </c>
      <c r="F1579" s="1" t="s">
        <v>158</v>
      </c>
      <c r="G1579" s="1" t="str">
        <f>"00759430267"</f>
        <v>00759430267</v>
      </c>
      <c r="I1579" s="1" t="s">
        <v>327</v>
      </c>
      <c r="L1579" s="1" t="s">
        <v>43</v>
      </c>
      <c r="M1579" s="1">
        <v>36880.33</v>
      </c>
      <c r="AG1579" s="1">
        <v>3420</v>
      </c>
      <c r="AH1579" s="2">
        <v>45225</v>
      </c>
      <c r="AI1579" s="2">
        <v>45412</v>
      </c>
      <c r="AJ1579" s="2">
        <v>45225</v>
      </c>
    </row>
    <row r="1580" spans="1:36">
      <c r="A1580" s="1" t="str">
        <f>"Z583CE9FFE"</f>
        <v>Z583CE9FFE</v>
      </c>
      <c r="B1580" s="1" t="str">
        <f t="shared" si="31"/>
        <v>02406911202</v>
      </c>
      <c r="C1580" s="1" t="s">
        <v>13</v>
      </c>
      <c r="D1580" s="1" t="s">
        <v>186</v>
      </c>
      <c r="E1580" s="1" t="s">
        <v>1721</v>
      </c>
      <c r="F1580" s="1" t="s">
        <v>158</v>
      </c>
      <c r="G1580" s="1" t="str">
        <f>"03385390103"</f>
        <v>03385390103</v>
      </c>
      <c r="I1580" s="1" t="s">
        <v>1722</v>
      </c>
      <c r="L1580" s="1" t="s">
        <v>43</v>
      </c>
      <c r="M1580" s="1">
        <v>4999</v>
      </c>
      <c r="AG1580" s="1">
        <v>0</v>
      </c>
      <c r="AH1580" s="2">
        <v>45188</v>
      </c>
      <c r="AI1580" s="2">
        <v>46022</v>
      </c>
      <c r="AJ1580" s="2">
        <v>45188</v>
      </c>
    </row>
    <row r="1581" spans="1:36">
      <c r="A1581" s="1" t="str">
        <f>"Z583CF9CF4"</f>
        <v>Z583CF9CF4</v>
      </c>
      <c r="B1581" s="1" t="str">
        <f t="shared" si="31"/>
        <v>02406911202</v>
      </c>
      <c r="C1581" s="1" t="s">
        <v>13</v>
      </c>
      <c r="D1581" s="1" t="s">
        <v>186</v>
      </c>
      <c r="E1581" s="1" t="s">
        <v>1723</v>
      </c>
      <c r="F1581" s="1" t="s">
        <v>158</v>
      </c>
      <c r="G1581" s="1" t="str">
        <f>"00926020066"</f>
        <v>00926020066</v>
      </c>
      <c r="I1581" s="1" t="s">
        <v>772</v>
      </c>
      <c r="L1581" s="1" t="s">
        <v>43</v>
      </c>
      <c r="M1581" s="1">
        <v>4999</v>
      </c>
      <c r="AG1581" s="1">
        <v>2458</v>
      </c>
      <c r="AH1581" s="2">
        <v>45223</v>
      </c>
      <c r="AI1581" s="2">
        <v>45291</v>
      </c>
      <c r="AJ1581" s="2">
        <v>45223</v>
      </c>
    </row>
    <row r="1582" spans="1:36">
      <c r="A1582" s="1" t="str">
        <f>"Z583DB4A67"</f>
        <v>Z583DB4A67</v>
      </c>
      <c r="B1582" s="1" t="str">
        <f t="shared" si="31"/>
        <v>02406911202</v>
      </c>
      <c r="C1582" s="1" t="s">
        <v>13</v>
      </c>
      <c r="D1582" s="1" t="s">
        <v>264</v>
      </c>
      <c r="E1582" s="1" t="s">
        <v>1724</v>
      </c>
      <c r="F1582" s="1" t="s">
        <v>158</v>
      </c>
      <c r="G1582" s="1" t="str">
        <f>"01889110209"</f>
        <v>01889110209</v>
      </c>
      <c r="I1582" s="1" t="s">
        <v>1725</v>
      </c>
      <c r="L1582" s="1" t="s">
        <v>43</v>
      </c>
      <c r="M1582" s="1">
        <v>300</v>
      </c>
      <c r="AG1582" s="1">
        <v>0</v>
      </c>
      <c r="AH1582" s="2">
        <v>45272</v>
      </c>
      <c r="AI1582" s="2">
        <v>45291</v>
      </c>
      <c r="AJ1582" s="2">
        <v>45272</v>
      </c>
    </row>
    <row r="1583" spans="1:36">
      <c r="A1583" s="1" t="str">
        <f>"Z583DBCAD8"</f>
        <v>Z583DBCAD8</v>
      </c>
      <c r="B1583" s="1" t="str">
        <f t="shared" si="31"/>
        <v>02406911202</v>
      </c>
      <c r="C1583" s="1" t="s">
        <v>13</v>
      </c>
      <c r="D1583" s="1" t="s">
        <v>180</v>
      </c>
      <c r="E1583" s="1" t="s">
        <v>220</v>
      </c>
      <c r="F1583" s="1" t="s">
        <v>158</v>
      </c>
      <c r="G1583" s="1" t="str">
        <f>"00759430267"</f>
        <v>00759430267</v>
      </c>
      <c r="I1583" s="1" t="s">
        <v>327</v>
      </c>
      <c r="L1583" s="1" t="s">
        <v>43</v>
      </c>
      <c r="M1583" s="1">
        <v>5000</v>
      </c>
      <c r="AG1583" s="1">
        <v>0</v>
      </c>
      <c r="AH1583" s="2">
        <v>45288</v>
      </c>
      <c r="AI1583" s="2">
        <v>45657</v>
      </c>
      <c r="AJ1583" s="2">
        <v>45288</v>
      </c>
    </row>
    <row r="1584" spans="1:36">
      <c r="A1584" s="1" t="str">
        <f>"Z593D3C508"</f>
        <v>Z593D3C508</v>
      </c>
      <c r="B1584" s="1" t="str">
        <f t="shared" si="31"/>
        <v>02406911202</v>
      </c>
      <c r="C1584" s="1" t="s">
        <v>13</v>
      </c>
      <c r="D1584" s="1" t="s">
        <v>264</v>
      </c>
      <c r="E1584" s="1" t="s">
        <v>1726</v>
      </c>
      <c r="F1584" s="1" t="s">
        <v>158</v>
      </c>
      <c r="G1584" s="1" t="str">
        <f>"CLTGPP73S03C351D"</f>
        <v>CLTGPP73S03C351D</v>
      </c>
      <c r="I1584" s="1" t="s">
        <v>1727</v>
      </c>
      <c r="L1584" s="1" t="s">
        <v>43</v>
      </c>
      <c r="M1584" s="1">
        <v>2200</v>
      </c>
      <c r="AG1584" s="1">
        <v>0</v>
      </c>
      <c r="AH1584" s="2">
        <v>45243</v>
      </c>
      <c r="AI1584" s="2">
        <v>45250</v>
      </c>
      <c r="AJ1584" s="2">
        <v>45243</v>
      </c>
    </row>
    <row r="1585" spans="1:36">
      <c r="A1585" s="1" t="str">
        <f>"Z593D4ED22"</f>
        <v>Z593D4ED22</v>
      </c>
      <c r="B1585" s="1" t="str">
        <f t="shared" si="31"/>
        <v>02406911202</v>
      </c>
      <c r="C1585" s="1" t="s">
        <v>13</v>
      </c>
      <c r="D1585" s="1" t="s">
        <v>264</v>
      </c>
      <c r="E1585" s="1" t="s">
        <v>1728</v>
      </c>
      <c r="F1585" s="1" t="s">
        <v>158</v>
      </c>
      <c r="G1585" s="1" t="str">
        <f>"08609570158"</f>
        <v>08609570158</v>
      </c>
      <c r="I1585" s="1" t="s">
        <v>1729</v>
      </c>
      <c r="L1585" s="1" t="s">
        <v>43</v>
      </c>
      <c r="M1585" s="1">
        <v>2000</v>
      </c>
      <c r="AG1585" s="1">
        <v>0</v>
      </c>
      <c r="AH1585" s="2">
        <v>45246</v>
      </c>
      <c r="AI1585" s="2">
        <v>45291</v>
      </c>
      <c r="AJ1585" s="2">
        <v>45246</v>
      </c>
    </row>
    <row r="1586" spans="1:36">
      <c r="A1586" s="1" t="str">
        <f>"Z593D84610"</f>
        <v>Z593D84610</v>
      </c>
      <c r="B1586" s="1" t="str">
        <f t="shared" si="31"/>
        <v>02406911202</v>
      </c>
      <c r="C1586" s="1" t="s">
        <v>13</v>
      </c>
      <c r="D1586" s="1" t="s">
        <v>180</v>
      </c>
      <c r="E1586" s="1" t="s">
        <v>279</v>
      </c>
      <c r="F1586" s="1" t="s">
        <v>158</v>
      </c>
      <c r="G1586" s="1" t="str">
        <f>"01086690581"</f>
        <v>01086690581</v>
      </c>
      <c r="I1586" s="1" t="s">
        <v>1730</v>
      </c>
      <c r="L1586" s="1" t="s">
        <v>43</v>
      </c>
      <c r="M1586" s="1">
        <v>5000</v>
      </c>
      <c r="AG1586" s="1">
        <v>0</v>
      </c>
      <c r="AH1586" s="2">
        <v>45259</v>
      </c>
      <c r="AI1586" s="2">
        <v>45291</v>
      </c>
      <c r="AJ1586" s="2">
        <v>45259</v>
      </c>
    </row>
    <row r="1587" spans="1:36">
      <c r="A1587" s="1" t="str">
        <f>"Z5A3D6DC8A"</f>
        <v>Z5A3D6DC8A</v>
      </c>
      <c r="B1587" s="1" t="str">
        <f t="shared" si="31"/>
        <v>02406911202</v>
      </c>
      <c r="C1587" s="1" t="s">
        <v>13</v>
      </c>
      <c r="D1587" s="1" t="s">
        <v>264</v>
      </c>
      <c r="E1587" s="1" t="s">
        <v>1731</v>
      </c>
      <c r="F1587" s="1" t="s">
        <v>158</v>
      </c>
      <c r="G1587" s="1" t="str">
        <f>"01769780675"</f>
        <v>01769780675</v>
      </c>
      <c r="I1587" s="1" t="s">
        <v>750</v>
      </c>
      <c r="L1587" s="1" t="s">
        <v>43</v>
      </c>
      <c r="M1587" s="1">
        <v>2700</v>
      </c>
      <c r="AG1587" s="1">
        <v>0</v>
      </c>
      <c r="AH1587" s="2">
        <v>45253</v>
      </c>
      <c r="AI1587" s="2">
        <v>45287</v>
      </c>
      <c r="AJ1587" s="2">
        <v>45253</v>
      </c>
    </row>
    <row r="1588" spans="1:36">
      <c r="A1588" s="1" t="str">
        <f>"Z5A3DCD70D"</f>
        <v>Z5A3DCD70D</v>
      </c>
      <c r="B1588" s="1" t="str">
        <f t="shared" si="31"/>
        <v>02406911202</v>
      </c>
      <c r="C1588" s="1" t="s">
        <v>13</v>
      </c>
      <c r="D1588" s="1" t="s">
        <v>180</v>
      </c>
      <c r="E1588" s="1" t="s">
        <v>279</v>
      </c>
      <c r="F1588" s="1" t="s">
        <v>158</v>
      </c>
      <c r="G1588" s="1" t="str">
        <f>"01794050151"</f>
        <v>01794050151</v>
      </c>
      <c r="I1588" s="1" t="s">
        <v>1732</v>
      </c>
      <c r="L1588" s="1" t="s">
        <v>43</v>
      </c>
      <c r="M1588" s="1">
        <v>5000</v>
      </c>
      <c r="AG1588" s="1">
        <v>0</v>
      </c>
      <c r="AH1588" s="2">
        <v>45275</v>
      </c>
      <c r="AI1588" s="2">
        <v>45291</v>
      </c>
      <c r="AJ1588" s="2">
        <v>45275</v>
      </c>
    </row>
    <row r="1589" spans="1:36">
      <c r="A1589" s="1" t="str">
        <f>"Z5B3D28AD7"</f>
        <v>Z5B3D28AD7</v>
      </c>
      <c r="B1589" s="1" t="str">
        <f t="shared" si="31"/>
        <v>02406911202</v>
      </c>
      <c r="C1589" s="1" t="s">
        <v>13</v>
      </c>
      <c r="D1589" s="1" t="s">
        <v>186</v>
      </c>
      <c r="E1589" s="1" t="s">
        <v>1733</v>
      </c>
      <c r="F1589" s="1" t="s">
        <v>158</v>
      </c>
      <c r="G1589" s="1" t="str">
        <f>"02962870214"</f>
        <v>02962870214</v>
      </c>
      <c r="I1589" s="1" t="s">
        <v>1592</v>
      </c>
      <c r="L1589" s="1" t="s">
        <v>43</v>
      </c>
      <c r="M1589" s="1">
        <v>4999</v>
      </c>
      <c r="AG1589" s="1">
        <v>0</v>
      </c>
      <c r="AH1589" s="2">
        <v>45237</v>
      </c>
      <c r="AI1589" s="2">
        <v>45291</v>
      </c>
      <c r="AJ1589" s="2">
        <v>45237</v>
      </c>
    </row>
    <row r="1590" spans="1:36">
      <c r="A1590" s="1" t="str">
        <f>"Z5C3D2C3FA"</f>
        <v>Z5C3D2C3FA</v>
      </c>
      <c r="B1590" s="1" t="str">
        <f t="shared" si="31"/>
        <v>02406911202</v>
      </c>
      <c r="C1590" s="1" t="s">
        <v>13</v>
      </c>
      <c r="D1590" s="1" t="s">
        <v>180</v>
      </c>
      <c r="E1590" s="1" t="s">
        <v>281</v>
      </c>
      <c r="F1590" s="1" t="s">
        <v>158</v>
      </c>
      <c r="G1590" s="1" t="str">
        <f>"02417881204"</f>
        <v>02417881204</v>
      </c>
      <c r="I1590" s="1" t="s">
        <v>328</v>
      </c>
      <c r="L1590" s="1" t="s">
        <v>43</v>
      </c>
      <c r="M1590" s="1">
        <v>6000</v>
      </c>
      <c r="AG1590" s="1">
        <v>0</v>
      </c>
      <c r="AH1590" s="2">
        <v>45238</v>
      </c>
      <c r="AI1590" s="2">
        <v>45291</v>
      </c>
      <c r="AJ1590" s="2">
        <v>45238</v>
      </c>
    </row>
    <row r="1591" spans="1:36">
      <c r="A1591" s="1" t="str">
        <f>"Z5D3CDF4C7"</f>
        <v>Z5D3CDF4C7</v>
      </c>
      <c r="B1591" s="1" t="str">
        <f t="shared" si="31"/>
        <v>02406911202</v>
      </c>
      <c r="C1591" s="1" t="s">
        <v>13</v>
      </c>
      <c r="D1591" s="1" t="s">
        <v>180</v>
      </c>
      <c r="E1591" s="1" t="s">
        <v>281</v>
      </c>
      <c r="F1591" s="1" t="s">
        <v>158</v>
      </c>
      <c r="G1591" s="1" t="str">
        <f>"03353370160"</f>
        <v>03353370160</v>
      </c>
      <c r="I1591" s="1" t="s">
        <v>478</v>
      </c>
      <c r="L1591" s="1" t="s">
        <v>43</v>
      </c>
      <c r="M1591" s="1">
        <v>6000</v>
      </c>
      <c r="AG1591" s="1">
        <v>0</v>
      </c>
      <c r="AH1591" s="2">
        <v>45216</v>
      </c>
      <c r="AI1591" s="2">
        <v>45291</v>
      </c>
      <c r="AJ1591" s="2">
        <v>45216</v>
      </c>
    </row>
    <row r="1592" spans="1:36">
      <c r="A1592" s="1" t="str">
        <f>"Z5D3D64D38"</f>
        <v>Z5D3D64D38</v>
      </c>
      <c r="B1592" s="1" t="str">
        <f t="shared" si="31"/>
        <v>02406911202</v>
      </c>
      <c r="C1592" s="1" t="s">
        <v>13</v>
      </c>
      <c r="D1592" s="1" t="s">
        <v>180</v>
      </c>
      <c r="E1592" s="1" t="s">
        <v>281</v>
      </c>
      <c r="F1592" s="1" t="s">
        <v>158</v>
      </c>
      <c r="G1592" s="1" t="str">
        <f>"00514240142"</f>
        <v>00514240142</v>
      </c>
      <c r="I1592" s="1" t="s">
        <v>492</v>
      </c>
      <c r="L1592" s="1" t="s">
        <v>43</v>
      </c>
      <c r="M1592" s="1">
        <v>6000</v>
      </c>
      <c r="AG1592" s="1">
        <v>0</v>
      </c>
      <c r="AH1592" s="2">
        <v>45250</v>
      </c>
      <c r="AI1592" s="2">
        <v>45291</v>
      </c>
      <c r="AJ1592" s="2">
        <v>45250</v>
      </c>
    </row>
    <row r="1593" spans="1:36">
      <c r="A1593" s="1" t="str">
        <f>"Z5D3DD13AB"</f>
        <v>Z5D3DD13AB</v>
      </c>
      <c r="B1593" s="1" t="str">
        <f t="shared" si="31"/>
        <v>02406911202</v>
      </c>
      <c r="C1593" s="1" t="s">
        <v>13</v>
      </c>
      <c r="D1593" s="1" t="s">
        <v>186</v>
      </c>
      <c r="E1593" s="1" t="s">
        <v>1734</v>
      </c>
      <c r="F1593" s="1" t="s">
        <v>158</v>
      </c>
      <c r="G1593" s="1" t="str">
        <f>"07424950157"</f>
        <v>07424950157</v>
      </c>
      <c r="I1593" s="1" t="s">
        <v>433</v>
      </c>
      <c r="L1593" s="1" t="s">
        <v>43</v>
      </c>
      <c r="M1593" s="1">
        <v>27000</v>
      </c>
      <c r="AG1593" s="1">
        <v>0</v>
      </c>
      <c r="AH1593" s="2">
        <v>45287</v>
      </c>
      <c r="AI1593" s="2">
        <v>46022</v>
      </c>
      <c r="AJ1593" s="2">
        <v>45287</v>
      </c>
    </row>
    <row r="1594" spans="1:36">
      <c r="A1594" s="1" t="str">
        <f>"Z5D3DD9CEF"</f>
        <v>Z5D3DD9CEF</v>
      </c>
      <c r="B1594" s="1" t="str">
        <f t="shared" si="31"/>
        <v>02406911202</v>
      </c>
      <c r="C1594" s="1" t="s">
        <v>13</v>
      </c>
      <c r="D1594" s="1" t="s">
        <v>177</v>
      </c>
      <c r="E1594" s="1" t="s">
        <v>1735</v>
      </c>
      <c r="F1594" s="1" t="s">
        <v>158</v>
      </c>
      <c r="G1594" s="1" t="str">
        <f>"01135570370"</f>
        <v>01135570370</v>
      </c>
      <c r="I1594" s="1" t="s">
        <v>1736</v>
      </c>
      <c r="L1594" s="1" t="s">
        <v>43</v>
      </c>
      <c r="M1594" s="1">
        <v>453.22</v>
      </c>
      <c r="AG1594" s="1">
        <v>0</v>
      </c>
      <c r="AH1594" s="2">
        <v>45279</v>
      </c>
      <c r="AI1594" s="2">
        <v>45291</v>
      </c>
      <c r="AJ1594" s="2">
        <v>45279</v>
      </c>
    </row>
    <row r="1595" spans="1:36">
      <c r="A1595" s="1" t="str">
        <f>"Z5D3E04175"</f>
        <v>Z5D3E04175</v>
      </c>
      <c r="B1595" s="1" t="str">
        <f t="shared" si="31"/>
        <v>02406911202</v>
      </c>
      <c r="C1595" s="1" t="s">
        <v>13</v>
      </c>
      <c r="D1595" s="1" t="s">
        <v>186</v>
      </c>
      <c r="E1595" s="1" t="s">
        <v>1737</v>
      </c>
      <c r="F1595" s="1" t="s">
        <v>158</v>
      </c>
      <c r="G1595" s="1" t="str">
        <f>"DLLDNI65L20B249H"</f>
        <v>DLLDNI65L20B249H</v>
      </c>
      <c r="I1595" s="1" t="s">
        <v>1738</v>
      </c>
      <c r="L1595" s="1" t="s">
        <v>43</v>
      </c>
      <c r="M1595" s="1">
        <v>4950</v>
      </c>
      <c r="AG1595" s="1">
        <v>0</v>
      </c>
      <c r="AH1595" s="2">
        <v>45289</v>
      </c>
      <c r="AI1595" s="2">
        <v>45657</v>
      </c>
      <c r="AJ1595" s="2">
        <v>45289</v>
      </c>
    </row>
    <row r="1596" spans="1:36">
      <c r="A1596" s="1" t="str">
        <f>"Z5E3CBB488"</f>
        <v>Z5E3CBB488</v>
      </c>
      <c r="B1596" s="1" t="str">
        <f t="shared" si="31"/>
        <v>02406911202</v>
      </c>
      <c r="C1596" s="1" t="s">
        <v>13</v>
      </c>
      <c r="D1596" s="1" t="s">
        <v>180</v>
      </c>
      <c r="E1596" s="1" t="s">
        <v>281</v>
      </c>
      <c r="F1596" s="1" t="s">
        <v>158</v>
      </c>
      <c r="G1596" s="1" t="str">
        <f>"04289840268"</f>
        <v>04289840268</v>
      </c>
      <c r="I1596" s="1" t="s">
        <v>302</v>
      </c>
      <c r="L1596" s="1" t="s">
        <v>43</v>
      </c>
      <c r="M1596" s="1">
        <v>6000</v>
      </c>
      <c r="AG1596" s="1">
        <v>2950</v>
      </c>
      <c r="AH1596" s="2">
        <v>45204</v>
      </c>
      <c r="AI1596" s="2">
        <v>45291</v>
      </c>
      <c r="AJ1596" s="2">
        <v>45204</v>
      </c>
    </row>
    <row r="1597" spans="1:36">
      <c r="A1597" s="1" t="str">
        <f>"Z5E3CC601D"</f>
        <v>Z5E3CC601D</v>
      </c>
      <c r="B1597" s="1" t="str">
        <f t="shared" si="31"/>
        <v>02406911202</v>
      </c>
      <c r="C1597" s="1" t="s">
        <v>13</v>
      </c>
      <c r="D1597" s="1" t="s">
        <v>186</v>
      </c>
      <c r="E1597" s="1" t="s">
        <v>1739</v>
      </c>
      <c r="F1597" s="1" t="s">
        <v>158</v>
      </c>
      <c r="G1597" s="1" t="str">
        <f>"00197370281"</f>
        <v>00197370281</v>
      </c>
      <c r="I1597" s="1" t="s">
        <v>347</v>
      </c>
      <c r="L1597" s="1" t="s">
        <v>43</v>
      </c>
      <c r="M1597" s="1">
        <v>4999</v>
      </c>
      <c r="AG1597" s="1">
        <v>0</v>
      </c>
      <c r="AH1597" s="2">
        <v>45208</v>
      </c>
      <c r="AI1597" s="2">
        <v>45291</v>
      </c>
      <c r="AJ1597" s="2">
        <v>45208</v>
      </c>
    </row>
    <row r="1598" spans="1:36">
      <c r="A1598" s="1" t="str">
        <f>"Z5E3D64D7D"</f>
        <v>Z5E3D64D7D</v>
      </c>
      <c r="B1598" s="1" t="str">
        <f t="shared" si="31"/>
        <v>02406911202</v>
      </c>
      <c r="C1598" s="1" t="s">
        <v>13</v>
      </c>
      <c r="D1598" s="1" t="s">
        <v>180</v>
      </c>
      <c r="E1598" s="1" t="s">
        <v>281</v>
      </c>
      <c r="F1598" s="1" t="s">
        <v>158</v>
      </c>
      <c r="G1598" s="1" t="str">
        <f>"15685941005"</f>
        <v>15685941005</v>
      </c>
      <c r="I1598" s="1" t="s">
        <v>1495</v>
      </c>
      <c r="L1598" s="1" t="s">
        <v>43</v>
      </c>
      <c r="M1598" s="1">
        <v>6000</v>
      </c>
      <c r="AG1598" s="1">
        <v>0</v>
      </c>
      <c r="AH1598" s="2">
        <v>45252</v>
      </c>
      <c r="AI1598" s="2">
        <v>45291</v>
      </c>
      <c r="AJ1598" s="2">
        <v>45252</v>
      </c>
    </row>
    <row r="1599" spans="1:36">
      <c r="A1599" s="1" t="str">
        <f>"Z5E3D85428"</f>
        <v>Z5E3D85428</v>
      </c>
      <c r="B1599" s="1" t="str">
        <f t="shared" si="31"/>
        <v>02406911202</v>
      </c>
      <c r="C1599" s="1" t="s">
        <v>13</v>
      </c>
      <c r="D1599" s="1" t="s">
        <v>186</v>
      </c>
      <c r="E1599" s="1" t="s">
        <v>1740</v>
      </c>
      <c r="F1599" s="1" t="s">
        <v>158</v>
      </c>
      <c r="G1599" s="1" t="str">
        <f>"02171351204"</f>
        <v>02171351204</v>
      </c>
      <c r="I1599" s="1" t="s">
        <v>1741</v>
      </c>
      <c r="L1599" s="1" t="s">
        <v>43</v>
      </c>
      <c r="M1599" s="1">
        <v>4990</v>
      </c>
      <c r="AG1599" s="1">
        <v>0</v>
      </c>
      <c r="AH1599" s="2">
        <v>45259</v>
      </c>
      <c r="AI1599" s="2">
        <v>45657</v>
      </c>
      <c r="AJ1599" s="2">
        <v>45259</v>
      </c>
    </row>
    <row r="1600" spans="1:36">
      <c r="A1600" s="1" t="str">
        <f>"Z5E3DC6C47"</f>
        <v>Z5E3DC6C47</v>
      </c>
      <c r="B1600" s="1" t="str">
        <f t="shared" si="31"/>
        <v>02406911202</v>
      </c>
      <c r="C1600" s="1" t="s">
        <v>13</v>
      </c>
      <c r="D1600" s="1" t="s">
        <v>186</v>
      </c>
      <c r="E1600" s="1" t="s">
        <v>1742</v>
      </c>
      <c r="F1600" s="1" t="s">
        <v>158</v>
      </c>
      <c r="G1600" s="1" t="str">
        <f>"02008340016"</f>
        <v>02008340016</v>
      </c>
      <c r="I1600" s="1" t="s">
        <v>1743</v>
      </c>
      <c r="L1600" s="1" t="s">
        <v>43</v>
      </c>
      <c r="M1600" s="1">
        <v>37640</v>
      </c>
      <c r="AG1600" s="1">
        <v>0</v>
      </c>
      <c r="AH1600" s="2">
        <v>45281</v>
      </c>
      <c r="AI1600" s="2">
        <v>45657</v>
      </c>
      <c r="AJ1600" s="2">
        <v>45281</v>
      </c>
    </row>
    <row r="1601" spans="1:36">
      <c r="A1601" s="1" t="str">
        <f>"Z5F3CD3B07"</f>
        <v>Z5F3CD3B07</v>
      </c>
      <c r="B1601" s="1" t="str">
        <f t="shared" si="31"/>
        <v>02406911202</v>
      </c>
      <c r="C1601" s="1" t="s">
        <v>13</v>
      </c>
      <c r="D1601" s="1" t="s">
        <v>264</v>
      </c>
      <c r="E1601" s="1" t="s">
        <v>1744</v>
      </c>
      <c r="F1601" s="1" t="s">
        <v>158</v>
      </c>
      <c r="G1601" s="1" t="str">
        <f>"00574250379"</f>
        <v>00574250379</v>
      </c>
      <c r="I1601" s="1" t="s">
        <v>1745</v>
      </c>
      <c r="L1601" s="1" t="s">
        <v>43</v>
      </c>
      <c r="M1601" s="1">
        <v>1000</v>
      </c>
      <c r="AG1601" s="1">
        <v>200</v>
      </c>
      <c r="AH1601" s="2">
        <v>45211</v>
      </c>
      <c r="AI1601" s="2">
        <v>45291</v>
      </c>
      <c r="AJ1601" s="2">
        <v>45211</v>
      </c>
    </row>
    <row r="1602" spans="1:36">
      <c r="A1602" s="1" t="str">
        <f>"Z5F3CDB596"</f>
        <v>Z5F3CDB596</v>
      </c>
      <c r="B1602" s="1" t="str">
        <f t="shared" ref="B1602:B1665" si="32">"02406911202"</f>
        <v>02406911202</v>
      </c>
      <c r="C1602" s="1" t="s">
        <v>13</v>
      </c>
      <c r="D1602" s="1" t="s">
        <v>180</v>
      </c>
      <c r="E1602" s="1" t="s">
        <v>279</v>
      </c>
      <c r="F1602" s="1" t="s">
        <v>158</v>
      </c>
      <c r="H1602" s="1" t="str">
        <f>"129314192"</f>
        <v>129314192</v>
      </c>
      <c r="I1602" s="1" t="s">
        <v>509</v>
      </c>
      <c r="L1602" s="1" t="s">
        <v>43</v>
      </c>
      <c r="M1602" s="1">
        <v>5000</v>
      </c>
      <c r="AG1602" s="1">
        <v>5444.55</v>
      </c>
      <c r="AH1602" s="2">
        <v>45215</v>
      </c>
      <c r="AI1602" s="2">
        <v>45657</v>
      </c>
      <c r="AJ1602" s="2">
        <v>45215</v>
      </c>
    </row>
    <row r="1603" spans="1:36">
      <c r="A1603" s="1" t="str">
        <f>"Z603D12D2E"</f>
        <v>Z603D12D2E</v>
      </c>
      <c r="B1603" s="1" t="str">
        <f t="shared" si="32"/>
        <v>02406911202</v>
      </c>
      <c r="C1603" s="1" t="s">
        <v>13</v>
      </c>
      <c r="D1603" s="1" t="s">
        <v>180</v>
      </c>
      <c r="E1603" s="1" t="s">
        <v>279</v>
      </c>
      <c r="F1603" s="1" t="s">
        <v>158</v>
      </c>
      <c r="G1603" s="1" t="str">
        <f>"07617050153"</f>
        <v>07617050153</v>
      </c>
      <c r="I1603" s="1" t="s">
        <v>1031</v>
      </c>
      <c r="L1603" s="1" t="s">
        <v>43</v>
      </c>
      <c r="M1603" s="1">
        <v>5000</v>
      </c>
      <c r="AG1603" s="1">
        <v>0</v>
      </c>
      <c r="AH1603" s="2">
        <v>45230</v>
      </c>
      <c r="AI1603" s="2">
        <v>45291</v>
      </c>
      <c r="AJ1603" s="2">
        <v>45230</v>
      </c>
    </row>
    <row r="1604" spans="1:36">
      <c r="A1604" s="1" t="str">
        <f>"Z613D5D7A9"</f>
        <v>Z613D5D7A9</v>
      </c>
      <c r="B1604" s="1" t="str">
        <f t="shared" si="32"/>
        <v>02406911202</v>
      </c>
      <c r="C1604" s="1" t="s">
        <v>13</v>
      </c>
      <c r="D1604" s="1" t="s">
        <v>186</v>
      </c>
      <c r="E1604" s="1" t="s">
        <v>1746</v>
      </c>
      <c r="F1604" s="1" t="s">
        <v>158</v>
      </c>
      <c r="G1604" s="1" t="str">
        <f>"11160660152"</f>
        <v>11160660152</v>
      </c>
      <c r="I1604" s="1" t="s">
        <v>457</v>
      </c>
      <c r="L1604" s="1" t="s">
        <v>43</v>
      </c>
      <c r="M1604" s="1">
        <v>43905.9</v>
      </c>
      <c r="AG1604" s="1">
        <v>0</v>
      </c>
      <c r="AH1604" s="2">
        <v>45257</v>
      </c>
      <c r="AI1604" s="2">
        <v>45748</v>
      </c>
      <c r="AJ1604" s="2">
        <v>45257</v>
      </c>
    </row>
    <row r="1605" spans="1:36">
      <c r="A1605" s="1" t="str">
        <f>"Z613D6F10E"</f>
        <v>Z613D6F10E</v>
      </c>
      <c r="B1605" s="1" t="str">
        <f t="shared" si="32"/>
        <v>02406911202</v>
      </c>
      <c r="C1605" s="1" t="s">
        <v>13</v>
      </c>
      <c r="D1605" s="1" t="s">
        <v>180</v>
      </c>
      <c r="E1605" s="1" t="s">
        <v>1747</v>
      </c>
      <c r="F1605" s="1" t="s">
        <v>158</v>
      </c>
      <c r="G1605" s="1" t="str">
        <f>"03260081207"</f>
        <v>03260081207</v>
      </c>
      <c r="I1605" s="1" t="s">
        <v>245</v>
      </c>
      <c r="L1605" s="1" t="s">
        <v>43</v>
      </c>
      <c r="M1605" s="1">
        <v>5000</v>
      </c>
      <c r="AG1605" s="1">
        <v>0</v>
      </c>
      <c r="AH1605" s="2">
        <v>45254</v>
      </c>
      <c r="AI1605" s="2">
        <v>45291</v>
      </c>
      <c r="AJ1605" s="2">
        <v>45254</v>
      </c>
    </row>
    <row r="1606" spans="1:36">
      <c r="A1606" s="1" t="str">
        <f>"Z613D89B8F"</f>
        <v>Z613D89B8F</v>
      </c>
      <c r="B1606" s="1" t="str">
        <f t="shared" si="32"/>
        <v>02406911202</v>
      </c>
      <c r="C1606" s="1" t="s">
        <v>13</v>
      </c>
      <c r="D1606" s="1" t="s">
        <v>180</v>
      </c>
      <c r="E1606" s="1" t="s">
        <v>279</v>
      </c>
      <c r="F1606" s="1" t="s">
        <v>158</v>
      </c>
      <c r="G1606" s="1" t="str">
        <f>"12792100153"</f>
        <v>12792100153</v>
      </c>
      <c r="I1606" s="1" t="s">
        <v>58</v>
      </c>
      <c r="L1606" s="1" t="s">
        <v>43</v>
      </c>
      <c r="M1606" s="1">
        <v>5000</v>
      </c>
      <c r="AG1606" s="1">
        <v>0</v>
      </c>
      <c r="AH1606" s="2">
        <v>45260</v>
      </c>
      <c r="AI1606" s="2">
        <v>45657</v>
      </c>
      <c r="AJ1606" s="2">
        <v>45260</v>
      </c>
    </row>
    <row r="1607" spans="1:36">
      <c r="A1607" s="1" t="str">
        <f>"Z623C88EAF"</f>
        <v>Z623C88EAF</v>
      </c>
      <c r="B1607" s="1" t="str">
        <f t="shared" si="32"/>
        <v>02406911202</v>
      </c>
      <c r="C1607" s="1" t="s">
        <v>13</v>
      </c>
      <c r="D1607" s="1" t="s">
        <v>264</v>
      </c>
      <c r="E1607" s="1" t="s">
        <v>1748</v>
      </c>
      <c r="F1607" s="1" t="s">
        <v>158</v>
      </c>
      <c r="G1607" s="1" t="str">
        <f>"06167210480"</f>
        <v>06167210480</v>
      </c>
      <c r="I1607" s="1" t="s">
        <v>1749</v>
      </c>
      <c r="L1607" s="1" t="s">
        <v>43</v>
      </c>
      <c r="M1607" s="1">
        <v>6500</v>
      </c>
      <c r="AG1607" s="1">
        <v>0</v>
      </c>
      <c r="AH1607" s="2">
        <v>45190</v>
      </c>
      <c r="AI1607" s="2">
        <v>45197</v>
      </c>
      <c r="AJ1607" s="2">
        <v>45190</v>
      </c>
    </row>
    <row r="1608" spans="1:36">
      <c r="A1608" s="1" t="str">
        <f>"Z623C88EAF"</f>
        <v>Z623C88EAF</v>
      </c>
      <c r="B1608" s="1" t="str">
        <f t="shared" si="32"/>
        <v>02406911202</v>
      </c>
      <c r="C1608" s="1" t="s">
        <v>13</v>
      </c>
      <c r="D1608" s="1" t="s">
        <v>264</v>
      </c>
      <c r="E1608" s="1" t="s">
        <v>1748</v>
      </c>
      <c r="F1608" s="1" t="s">
        <v>158</v>
      </c>
      <c r="G1608" s="1" t="str">
        <f>"03957810280"</f>
        <v>03957810280</v>
      </c>
      <c r="I1608" s="1" t="s">
        <v>1750</v>
      </c>
      <c r="L1608" s="1" t="s">
        <v>100</v>
      </c>
      <c r="AJ1608" s="2">
        <v>45190</v>
      </c>
    </row>
    <row r="1609" spans="1:36">
      <c r="A1609" s="1" t="str">
        <f>"Z623CB1AB2"</f>
        <v>Z623CB1AB2</v>
      </c>
      <c r="B1609" s="1" t="str">
        <f t="shared" si="32"/>
        <v>02406911202</v>
      </c>
      <c r="C1609" s="1" t="s">
        <v>13</v>
      </c>
      <c r="D1609" s="1" t="s">
        <v>167</v>
      </c>
      <c r="E1609" s="1" t="s">
        <v>1751</v>
      </c>
      <c r="F1609" s="1" t="s">
        <v>151</v>
      </c>
      <c r="G1609" s="1" t="str">
        <f>"02457060032"</f>
        <v>02457060032</v>
      </c>
      <c r="I1609" s="1" t="s">
        <v>320</v>
      </c>
      <c r="L1609" s="1" t="s">
        <v>43</v>
      </c>
      <c r="M1609" s="1">
        <v>48</v>
      </c>
      <c r="AG1609" s="1">
        <v>0</v>
      </c>
      <c r="AH1609" s="2">
        <v>45215</v>
      </c>
      <c r="AI1609" s="2">
        <v>45945</v>
      </c>
      <c r="AJ1609" s="2">
        <v>45215</v>
      </c>
    </row>
    <row r="1610" spans="1:36">
      <c r="A1610" s="1" t="str">
        <f>"Z623CD8755"</f>
        <v>Z623CD8755</v>
      </c>
      <c r="B1610" s="1" t="str">
        <f t="shared" si="32"/>
        <v>02406911202</v>
      </c>
      <c r="C1610" s="1" t="s">
        <v>13</v>
      </c>
      <c r="D1610" s="1" t="s">
        <v>264</v>
      </c>
      <c r="E1610" s="1" t="s">
        <v>1752</v>
      </c>
      <c r="F1610" s="1" t="s">
        <v>158</v>
      </c>
      <c r="G1610" s="1" t="str">
        <f>"91155450371"</f>
        <v>91155450371</v>
      </c>
      <c r="I1610" s="1" t="s">
        <v>369</v>
      </c>
      <c r="L1610" s="1" t="s">
        <v>43</v>
      </c>
      <c r="M1610" s="1">
        <v>20749.330000000002</v>
      </c>
      <c r="AG1610" s="1">
        <v>1860</v>
      </c>
      <c r="AH1610" s="2">
        <v>45108</v>
      </c>
      <c r="AI1610" s="2">
        <v>46126</v>
      </c>
      <c r="AJ1610" s="2">
        <v>45108</v>
      </c>
    </row>
    <row r="1611" spans="1:36">
      <c r="A1611" s="1" t="str">
        <f>"Z623DB6A83"</f>
        <v>Z623DB6A83</v>
      </c>
      <c r="B1611" s="1" t="str">
        <f t="shared" si="32"/>
        <v>02406911202</v>
      </c>
      <c r="C1611" s="1" t="s">
        <v>13</v>
      </c>
      <c r="D1611" s="1" t="s">
        <v>167</v>
      </c>
      <c r="E1611" s="1" t="s">
        <v>1753</v>
      </c>
      <c r="F1611" s="1" t="s">
        <v>158</v>
      </c>
      <c r="G1611" s="1" t="str">
        <f>"11484370967"</f>
        <v>11484370967</v>
      </c>
      <c r="I1611" s="1" t="s">
        <v>1754</v>
      </c>
      <c r="L1611" s="1" t="s">
        <v>43</v>
      </c>
      <c r="M1611" s="1">
        <v>1255</v>
      </c>
      <c r="AG1611" s="1">
        <v>0</v>
      </c>
      <c r="AH1611" s="2">
        <v>45273</v>
      </c>
      <c r="AI1611" s="2">
        <v>45273</v>
      </c>
      <c r="AJ1611" s="2">
        <v>45273</v>
      </c>
    </row>
    <row r="1612" spans="1:36">
      <c r="A1612" s="1" t="str">
        <f>"Z633CCBDA0"</f>
        <v>Z633CCBDA0</v>
      </c>
      <c r="B1612" s="1" t="str">
        <f t="shared" si="32"/>
        <v>02406911202</v>
      </c>
      <c r="C1612" s="1" t="s">
        <v>13</v>
      </c>
      <c r="D1612" s="1" t="s">
        <v>180</v>
      </c>
      <c r="E1612" s="1" t="s">
        <v>281</v>
      </c>
      <c r="F1612" s="1" t="s">
        <v>158</v>
      </c>
      <c r="G1612" s="1" t="str">
        <f>"12572900152"</f>
        <v>12572900152</v>
      </c>
      <c r="I1612" s="1" t="s">
        <v>335</v>
      </c>
      <c r="L1612" s="1" t="s">
        <v>43</v>
      </c>
      <c r="M1612" s="1">
        <v>47998.8</v>
      </c>
      <c r="AG1612" s="1">
        <v>0</v>
      </c>
      <c r="AH1612" s="2">
        <v>45229</v>
      </c>
      <c r="AI1612" s="2">
        <v>45291</v>
      </c>
      <c r="AJ1612" s="2">
        <v>45229</v>
      </c>
    </row>
    <row r="1613" spans="1:36">
      <c r="A1613" s="1" t="str">
        <f>"Z643C9187D"</f>
        <v>Z643C9187D</v>
      </c>
      <c r="B1613" s="1" t="str">
        <f t="shared" si="32"/>
        <v>02406911202</v>
      </c>
      <c r="C1613" s="1" t="s">
        <v>13</v>
      </c>
      <c r="D1613" s="1" t="s">
        <v>180</v>
      </c>
      <c r="E1613" s="1" t="s">
        <v>296</v>
      </c>
      <c r="F1613" s="1" t="s">
        <v>158</v>
      </c>
      <c r="G1613" s="1" t="str">
        <f>"07179150151"</f>
        <v>07179150151</v>
      </c>
      <c r="I1613" s="1" t="s">
        <v>862</v>
      </c>
      <c r="L1613" s="1" t="s">
        <v>43</v>
      </c>
      <c r="M1613" s="1">
        <v>5000</v>
      </c>
      <c r="AG1613" s="1">
        <v>4912.88</v>
      </c>
      <c r="AH1613" s="2">
        <v>45194</v>
      </c>
      <c r="AI1613" s="2">
        <v>45291</v>
      </c>
      <c r="AJ1613" s="2">
        <v>45194</v>
      </c>
    </row>
    <row r="1614" spans="1:36">
      <c r="A1614" s="1" t="str">
        <f>"Z643CA9CC1"</f>
        <v>Z643CA9CC1</v>
      </c>
      <c r="B1614" s="1" t="str">
        <f t="shared" si="32"/>
        <v>02406911202</v>
      </c>
      <c r="C1614" s="1" t="s">
        <v>13</v>
      </c>
      <c r="D1614" s="1" t="s">
        <v>186</v>
      </c>
      <c r="E1614" s="1" t="s">
        <v>1755</v>
      </c>
      <c r="F1614" s="1" t="s">
        <v>158</v>
      </c>
      <c r="G1614" s="1" t="str">
        <f>"01057060384"</f>
        <v>01057060384</v>
      </c>
      <c r="I1614" s="1" t="s">
        <v>323</v>
      </c>
      <c r="L1614" s="1" t="s">
        <v>43</v>
      </c>
      <c r="M1614" s="1">
        <v>4999</v>
      </c>
      <c r="AG1614" s="1">
        <v>841.5</v>
      </c>
      <c r="AH1614" s="2">
        <v>45201</v>
      </c>
      <c r="AI1614" s="2">
        <v>45657</v>
      </c>
      <c r="AJ1614" s="2">
        <v>45201</v>
      </c>
    </row>
    <row r="1615" spans="1:36">
      <c r="A1615" s="1" t="str">
        <f>"Z643CDA83A"</f>
        <v>Z643CDA83A</v>
      </c>
      <c r="B1615" s="1" t="str">
        <f t="shared" si="32"/>
        <v>02406911202</v>
      </c>
      <c r="C1615" s="1" t="s">
        <v>13</v>
      </c>
      <c r="D1615" s="1" t="s">
        <v>180</v>
      </c>
      <c r="E1615" s="1" t="s">
        <v>181</v>
      </c>
      <c r="F1615" s="1" t="s">
        <v>158</v>
      </c>
      <c r="G1615" s="1" t="str">
        <f>"00803890151"</f>
        <v>00803890151</v>
      </c>
      <c r="I1615" s="1" t="s">
        <v>104</v>
      </c>
      <c r="L1615" s="1" t="s">
        <v>43</v>
      </c>
      <c r="M1615" s="1">
        <v>6000</v>
      </c>
      <c r="AG1615" s="1">
        <v>5019.79</v>
      </c>
      <c r="AH1615" s="2">
        <v>45215</v>
      </c>
      <c r="AI1615" s="2">
        <v>45657</v>
      </c>
      <c r="AJ1615" s="2">
        <v>45215</v>
      </c>
    </row>
    <row r="1616" spans="1:36">
      <c r="A1616" s="1" t="str">
        <f>"Z643CF50C5"</f>
        <v>Z643CF50C5</v>
      </c>
      <c r="B1616" s="1" t="str">
        <f t="shared" si="32"/>
        <v>02406911202</v>
      </c>
      <c r="C1616" s="1" t="s">
        <v>13</v>
      </c>
      <c r="D1616" s="1" t="s">
        <v>177</v>
      </c>
      <c r="E1616" s="1" t="s">
        <v>1756</v>
      </c>
      <c r="F1616" s="1" t="s">
        <v>158</v>
      </c>
      <c r="G1616" s="1" t="str">
        <f>"10799830962"</f>
        <v>10799830962</v>
      </c>
      <c r="I1616" s="1" t="s">
        <v>1757</v>
      </c>
      <c r="L1616" s="1" t="s">
        <v>43</v>
      </c>
      <c r="M1616" s="1">
        <v>39000</v>
      </c>
      <c r="AG1616" s="1">
        <v>38000</v>
      </c>
      <c r="AH1616" s="2">
        <v>45231</v>
      </c>
      <c r="AI1616" s="2">
        <v>46022</v>
      </c>
      <c r="AJ1616" s="2">
        <v>45231</v>
      </c>
    </row>
    <row r="1617" spans="1:36">
      <c r="A1617" s="1" t="str">
        <f>"Z643D3798F"</f>
        <v>Z643D3798F</v>
      </c>
      <c r="B1617" s="1" t="str">
        <f t="shared" si="32"/>
        <v>02406911202</v>
      </c>
      <c r="C1617" s="1" t="s">
        <v>13</v>
      </c>
      <c r="D1617" s="1" t="s">
        <v>177</v>
      </c>
      <c r="E1617" s="1" t="s">
        <v>1758</v>
      </c>
      <c r="F1617" s="1" t="s">
        <v>158</v>
      </c>
      <c r="G1617" s="1" t="str">
        <f>"92044670401"</f>
        <v>92044670401</v>
      </c>
      <c r="I1617" s="1" t="s">
        <v>1759</v>
      </c>
      <c r="L1617" s="1" t="s">
        <v>43</v>
      </c>
      <c r="M1617" s="1">
        <v>107000</v>
      </c>
      <c r="AG1617" s="1">
        <v>0</v>
      </c>
      <c r="AH1617" s="2">
        <v>45231</v>
      </c>
      <c r="AI1617" s="2">
        <v>45961</v>
      </c>
      <c r="AJ1617" s="2">
        <v>45231</v>
      </c>
    </row>
    <row r="1618" spans="1:36">
      <c r="A1618" s="1" t="str">
        <f>"Z653C973F1"</f>
        <v>Z653C973F1</v>
      </c>
      <c r="B1618" s="1" t="str">
        <f t="shared" si="32"/>
        <v>02406911202</v>
      </c>
      <c r="C1618" s="1" t="s">
        <v>13</v>
      </c>
      <c r="D1618" s="1" t="s">
        <v>180</v>
      </c>
      <c r="E1618" s="1" t="s">
        <v>315</v>
      </c>
      <c r="F1618" s="1" t="s">
        <v>158</v>
      </c>
      <c r="G1618" s="1" t="str">
        <f>"03197541208"</f>
        <v>03197541208</v>
      </c>
      <c r="I1618" s="1" t="s">
        <v>1515</v>
      </c>
      <c r="L1618" s="1" t="s">
        <v>43</v>
      </c>
      <c r="M1618" s="1">
        <v>5000</v>
      </c>
      <c r="AG1618" s="1">
        <v>5076.32</v>
      </c>
      <c r="AH1618" s="2">
        <v>45195</v>
      </c>
      <c r="AI1618" s="2">
        <v>45291</v>
      </c>
      <c r="AJ1618" s="2">
        <v>45195</v>
      </c>
    </row>
    <row r="1619" spans="1:36">
      <c r="A1619" s="1" t="str">
        <f>"Z663D03D9A"</f>
        <v>Z663D03D9A</v>
      </c>
      <c r="B1619" s="1" t="str">
        <f t="shared" si="32"/>
        <v>02406911202</v>
      </c>
      <c r="C1619" s="1" t="s">
        <v>13</v>
      </c>
      <c r="D1619" s="1" t="s">
        <v>180</v>
      </c>
      <c r="E1619" s="1" t="s">
        <v>281</v>
      </c>
      <c r="F1619" s="1" t="s">
        <v>158</v>
      </c>
      <c r="G1619" s="1" t="str">
        <f>"12572900152"</f>
        <v>12572900152</v>
      </c>
      <c r="I1619" s="1" t="s">
        <v>335</v>
      </c>
      <c r="L1619" s="1" t="s">
        <v>43</v>
      </c>
      <c r="M1619" s="1">
        <v>6000</v>
      </c>
      <c r="AG1619" s="1">
        <v>0</v>
      </c>
      <c r="AH1619" s="2">
        <v>45225</v>
      </c>
      <c r="AI1619" s="2">
        <v>45291</v>
      </c>
      <c r="AJ1619" s="2">
        <v>45225</v>
      </c>
    </row>
    <row r="1620" spans="1:36">
      <c r="A1620" s="1" t="str">
        <f>"Z663D484C9"</f>
        <v>Z663D484C9</v>
      </c>
      <c r="B1620" s="1" t="str">
        <f t="shared" si="32"/>
        <v>02406911202</v>
      </c>
      <c r="C1620" s="1" t="s">
        <v>13</v>
      </c>
      <c r="D1620" s="1" t="s">
        <v>180</v>
      </c>
      <c r="E1620" s="1" t="s">
        <v>279</v>
      </c>
      <c r="F1620" s="1" t="s">
        <v>158</v>
      </c>
      <c r="G1620" s="1" t="str">
        <f>"02705540165"</f>
        <v>02705540165</v>
      </c>
      <c r="I1620" s="1" t="s">
        <v>1760</v>
      </c>
      <c r="L1620" s="1" t="s">
        <v>43</v>
      </c>
      <c r="M1620" s="1">
        <v>5000</v>
      </c>
      <c r="AG1620" s="1">
        <v>0</v>
      </c>
      <c r="AH1620" s="2">
        <v>45245</v>
      </c>
      <c r="AI1620" s="2">
        <v>45657</v>
      </c>
      <c r="AJ1620" s="2">
        <v>45245</v>
      </c>
    </row>
    <row r="1621" spans="1:36">
      <c r="A1621" s="1" t="str">
        <f>"Z663D6228B"</f>
        <v>Z663D6228B</v>
      </c>
      <c r="B1621" s="1" t="str">
        <f t="shared" si="32"/>
        <v>02406911202</v>
      </c>
      <c r="C1621" s="1" t="s">
        <v>13</v>
      </c>
      <c r="D1621" s="1" t="s">
        <v>177</v>
      </c>
      <c r="E1621" s="1" t="s">
        <v>1735</v>
      </c>
      <c r="F1621" s="1" t="s">
        <v>158</v>
      </c>
      <c r="G1621" s="1" t="str">
        <f>"02855851206"</f>
        <v>02855851206</v>
      </c>
      <c r="I1621" s="1" t="s">
        <v>1761</v>
      </c>
      <c r="L1621" s="1" t="s">
        <v>43</v>
      </c>
      <c r="M1621" s="1">
        <v>819.67</v>
      </c>
      <c r="AG1621" s="1">
        <v>0</v>
      </c>
      <c r="AH1621" s="2">
        <v>45251</v>
      </c>
      <c r="AI1621" s="2">
        <v>45291</v>
      </c>
      <c r="AJ1621" s="2">
        <v>45251</v>
      </c>
    </row>
    <row r="1622" spans="1:36">
      <c r="A1622" s="1" t="str">
        <f>"Z673D35130"</f>
        <v>Z673D35130</v>
      </c>
      <c r="B1622" s="1" t="str">
        <f t="shared" si="32"/>
        <v>02406911202</v>
      </c>
      <c r="C1622" s="1" t="s">
        <v>13</v>
      </c>
      <c r="D1622" s="1" t="s">
        <v>186</v>
      </c>
      <c r="E1622" s="1" t="s">
        <v>1762</v>
      </c>
      <c r="F1622" s="1" t="s">
        <v>158</v>
      </c>
      <c r="G1622" s="1" t="str">
        <f>"02672850357"</f>
        <v>02672850357</v>
      </c>
      <c r="I1622" s="1" t="s">
        <v>1718</v>
      </c>
      <c r="L1622" s="1" t="s">
        <v>43</v>
      </c>
      <c r="M1622" s="1">
        <v>4999</v>
      </c>
      <c r="AG1622" s="1">
        <v>0</v>
      </c>
      <c r="AH1622" s="2">
        <v>45239</v>
      </c>
      <c r="AI1622" s="2">
        <v>45657</v>
      </c>
      <c r="AJ1622" s="2">
        <v>45239</v>
      </c>
    </row>
    <row r="1623" spans="1:36">
      <c r="A1623" s="1" t="str">
        <f>"Z673D35130"</f>
        <v>Z673D35130</v>
      </c>
      <c r="B1623" s="1" t="str">
        <f t="shared" si="32"/>
        <v>02406911202</v>
      </c>
      <c r="C1623" s="1" t="s">
        <v>13</v>
      </c>
      <c r="D1623" s="1" t="s">
        <v>186</v>
      </c>
      <c r="E1623" s="1" t="s">
        <v>1762</v>
      </c>
      <c r="F1623" s="1" t="s">
        <v>158</v>
      </c>
      <c r="G1623" s="1" t="str">
        <f>"02962870214"</f>
        <v>02962870214</v>
      </c>
      <c r="I1623" s="1" t="s">
        <v>1592</v>
      </c>
      <c r="L1623" s="1" t="s">
        <v>100</v>
      </c>
      <c r="AJ1623" s="2">
        <v>45239</v>
      </c>
    </row>
    <row r="1624" spans="1:36">
      <c r="A1624" s="1" t="str">
        <f>"Z673D81AC6"</f>
        <v>Z673D81AC6</v>
      </c>
      <c r="B1624" s="1" t="str">
        <f t="shared" si="32"/>
        <v>02406911202</v>
      </c>
      <c r="C1624" s="1" t="s">
        <v>13</v>
      </c>
      <c r="D1624" s="1" t="s">
        <v>180</v>
      </c>
      <c r="E1624" s="1" t="s">
        <v>220</v>
      </c>
      <c r="F1624" s="1" t="s">
        <v>158</v>
      </c>
      <c r="G1624" s="1" t="str">
        <f>"02790240101"</f>
        <v>02790240101</v>
      </c>
      <c r="I1624" s="1" t="s">
        <v>260</v>
      </c>
      <c r="L1624" s="1" t="s">
        <v>43</v>
      </c>
      <c r="M1624" s="1">
        <v>6000</v>
      </c>
      <c r="AG1624" s="1">
        <v>0</v>
      </c>
      <c r="AH1624" s="2">
        <v>45259</v>
      </c>
      <c r="AI1624" s="2">
        <v>45657</v>
      </c>
      <c r="AJ1624" s="2">
        <v>45259</v>
      </c>
    </row>
    <row r="1625" spans="1:36">
      <c r="A1625" s="1" t="str">
        <f>"Z673DBD0D9"</f>
        <v>Z673DBD0D9</v>
      </c>
      <c r="B1625" s="1" t="str">
        <f t="shared" si="32"/>
        <v>02406911202</v>
      </c>
      <c r="C1625" s="1" t="s">
        <v>13</v>
      </c>
      <c r="D1625" s="1" t="s">
        <v>180</v>
      </c>
      <c r="E1625" s="1" t="s">
        <v>281</v>
      </c>
      <c r="F1625" s="1" t="s">
        <v>158</v>
      </c>
      <c r="G1625" s="1" t="str">
        <f>"09238800156"</f>
        <v>09238800156</v>
      </c>
      <c r="I1625" s="1" t="s">
        <v>92</v>
      </c>
      <c r="L1625" s="1" t="s">
        <v>43</v>
      </c>
      <c r="M1625" s="1">
        <v>6000</v>
      </c>
      <c r="AG1625" s="1">
        <v>0</v>
      </c>
      <c r="AH1625" s="2">
        <v>45274</v>
      </c>
      <c r="AI1625" s="2">
        <v>45274</v>
      </c>
      <c r="AJ1625" s="2">
        <v>45274</v>
      </c>
    </row>
    <row r="1626" spans="1:36">
      <c r="A1626" s="1" t="str">
        <f>"Z683D19D26"</f>
        <v>Z683D19D26</v>
      </c>
      <c r="B1626" s="1" t="str">
        <f t="shared" si="32"/>
        <v>02406911202</v>
      </c>
      <c r="C1626" s="1" t="s">
        <v>13</v>
      </c>
      <c r="D1626" s="1" t="s">
        <v>180</v>
      </c>
      <c r="E1626" s="1" t="s">
        <v>279</v>
      </c>
      <c r="F1626" s="1" t="s">
        <v>158</v>
      </c>
      <c r="G1626" s="1" t="str">
        <f>"03597020373"</f>
        <v>03597020373</v>
      </c>
      <c r="I1626" s="1" t="s">
        <v>254</v>
      </c>
      <c r="L1626" s="1" t="s">
        <v>43</v>
      </c>
      <c r="M1626" s="1">
        <v>6000</v>
      </c>
      <c r="AG1626" s="1">
        <v>0</v>
      </c>
      <c r="AH1626" s="2">
        <v>45232</v>
      </c>
      <c r="AI1626" s="2">
        <v>45291</v>
      </c>
      <c r="AJ1626" s="2">
        <v>45232</v>
      </c>
    </row>
    <row r="1627" spans="1:36">
      <c r="A1627" s="1" t="str">
        <f>"Z683D19F1C"</f>
        <v>Z683D19F1C</v>
      </c>
      <c r="B1627" s="1" t="str">
        <f t="shared" si="32"/>
        <v>02406911202</v>
      </c>
      <c r="C1627" s="1" t="s">
        <v>13</v>
      </c>
      <c r="D1627" s="1" t="s">
        <v>180</v>
      </c>
      <c r="E1627" s="1" t="s">
        <v>279</v>
      </c>
      <c r="F1627" s="1" t="s">
        <v>158</v>
      </c>
      <c r="G1627" s="1" t="str">
        <f>"00695940213"</f>
        <v>00695940213</v>
      </c>
      <c r="I1627" s="1" t="s">
        <v>590</v>
      </c>
      <c r="L1627" s="1" t="s">
        <v>43</v>
      </c>
      <c r="M1627" s="1">
        <v>5000</v>
      </c>
      <c r="AG1627" s="1">
        <v>0</v>
      </c>
      <c r="AH1627" s="2">
        <v>45232</v>
      </c>
      <c r="AI1627" s="2">
        <v>45657</v>
      </c>
      <c r="AJ1627" s="2">
        <v>45232</v>
      </c>
    </row>
    <row r="1628" spans="1:36">
      <c r="A1628" s="1" t="str">
        <f>"Z683D3DAB9"</f>
        <v>Z683D3DAB9</v>
      </c>
      <c r="B1628" s="1" t="str">
        <f t="shared" si="32"/>
        <v>02406911202</v>
      </c>
      <c r="C1628" s="1" t="s">
        <v>13</v>
      </c>
      <c r="D1628" s="1" t="s">
        <v>177</v>
      </c>
      <c r="E1628" s="1" t="s">
        <v>1763</v>
      </c>
      <c r="F1628" s="1" t="s">
        <v>158</v>
      </c>
      <c r="G1628" s="1" t="str">
        <f>"12397200010"</f>
        <v>12397200010</v>
      </c>
      <c r="I1628" s="1" t="s">
        <v>1764</v>
      </c>
      <c r="L1628" s="1" t="s">
        <v>43</v>
      </c>
      <c r="M1628" s="1">
        <v>1630</v>
      </c>
      <c r="AG1628" s="1">
        <v>0</v>
      </c>
      <c r="AH1628" s="2">
        <v>45243</v>
      </c>
      <c r="AI1628" s="2">
        <v>45291</v>
      </c>
      <c r="AJ1628" s="2">
        <v>45243</v>
      </c>
    </row>
    <row r="1629" spans="1:36">
      <c r="A1629" s="1" t="str">
        <f>"Z683D94616"</f>
        <v>Z683D94616</v>
      </c>
      <c r="B1629" s="1" t="str">
        <f t="shared" si="32"/>
        <v>02406911202</v>
      </c>
      <c r="C1629" s="1" t="s">
        <v>13</v>
      </c>
      <c r="D1629" s="1" t="s">
        <v>180</v>
      </c>
      <c r="E1629" s="1" t="s">
        <v>220</v>
      </c>
      <c r="F1629" s="1" t="s">
        <v>158</v>
      </c>
      <c r="G1629" s="1" t="str">
        <f>"11160660152"</f>
        <v>11160660152</v>
      </c>
      <c r="I1629" s="1" t="s">
        <v>457</v>
      </c>
      <c r="L1629" s="1" t="s">
        <v>43</v>
      </c>
      <c r="M1629" s="1">
        <v>6000</v>
      </c>
      <c r="AG1629" s="1">
        <v>0</v>
      </c>
      <c r="AH1629" s="2">
        <v>45271</v>
      </c>
      <c r="AI1629" s="2">
        <v>45657</v>
      </c>
      <c r="AJ1629" s="2">
        <v>45271</v>
      </c>
    </row>
    <row r="1630" spans="1:36">
      <c r="A1630" s="1" t="str">
        <f>"Z683DAE2DD"</f>
        <v>Z683DAE2DD</v>
      </c>
      <c r="B1630" s="1" t="str">
        <f t="shared" si="32"/>
        <v>02406911202</v>
      </c>
      <c r="C1630" s="1" t="s">
        <v>13</v>
      </c>
      <c r="D1630" s="1" t="s">
        <v>167</v>
      </c>
      <c r="E1630" s="1" t="s">
        <v>1765</v>
      </c>
      <c r="F1630" s="1" t="s">
        <v>151</v>
      </c>
      <c r="G1630" s="1" t="str">
        <f>"06522300968"</f>
        <v>06522300968</v>
      </c>
      <c r="I1630" s="1" t="s">
        <v>1766</v>
      </c>
      <c r="L1630" s="1" t="s">
        <v>43</v>
      </c>
      <c r="M1630" s="1">
        <v>957.96</v>
      </c>
      <c r="AG1630" s="1">
        <v>0</v>
      </c>
      <c r="AH1630" s="2">
        <v>45281</v>
      </c>
      <c r="AI1630" s="2">
        <v>46022</v>
      </c>
      <c r="AJ1630" s="2">
        <v>45281</v>
      </c>
    </row>
    <row r="1631" spans="1:36">
      <c r="A1631" s="1" t="str">
        <f>"Z683DB9454"</f>
        <v>Z683DB9454</v>
      </c>
      <c r="B1631" s="1" t="str">
        <f t="shared" si="32"/>
        <v>02406911202</v>
      </c>
      <c r="C1631" s="1" t="s">
        <v>13</v>
      </c>
      <c r="D1631" s="1" t="s">
        <v>177</v>
      </c>
      <c r="E1631" s="1" t="s">
        <v>1767</v>
      </c>
      <c r="F1631" s="1" t="s">
        <v>39</v>
      </c>
      <c r="G1631" s="1" t="str">
        <f>"03811630361"</f>
        <v>03811630361</v>
      </c>
      <c r="I1631" s="1" t="s">
        <v>1768</v>
      </c>
      <c r="L1631" s="1" t="s">
        <v>43</v>
      </c>
      <c r="M1631" s="1">
        <v>39990</v>
      </c>
      <c r="AG1631" s="1">
        <v>0</v>
      </c>
      <c r="AH1631" s="2">
        <v>45138</v>
      </c>
      <c r="AI1631" s="2">
        <v>45291</v>
      </c>
      <c r="AJ1631" s="2">
        <v>45138</v>
      </c>
    </row>
    <row r="1632" spans="1:36">
      <c r="A1632" s="1" t="str">
        <f>"Z693C9C761"</f>
        <v>Z693C9C761</v>
      </c>
      <c r="B1632" s="1" t="str">
        <f t="shared" si="32"/>
        <v>02406911202</v>
      </c>
      <c r="C1632" s="1" t="s">
        <v>13</v>
      </c>
      <c r="D1632" s="1" t="s">
        <v>186</v>
      </c>
      <c r="E1632" s="1" t="s">
        <v>290</v>
      </c>
      <c r="F1632" s="1" t="s">
        <v>158</v>
      </c>
      <c r="G1632" s="1" t="str">
        <f>"03023141207"</f>
        <v>03023141207</v>
      </c>
      <c r="I1632" s="1" t="s">
        <v>1769</v>
      </c>
      <c r="L1632" s="1" t="s">
        <v>43</v>
      </c>
      <c r="M1632" s="1">
        <v>2540</v>
      </c>
      <c r="AG1632" s="1">
        <v>0</v>
      </c>
      <c r="AH1632" s="2">
        <v>45196</v>
      </c>
      <c r="AI1632" s="2">
        <v>45291</v>
      </c>
      <c r="AJ1632" s="2">
        <v>45196</v>
      </c>
    </row>
    <row r="1633" spans="1:36">
      <c r="A1633" s="1" t="str">
        <f>"Z693D7A0C1"</f>
        <v>Z693D7A0C1</v>
      </c>
      <c r="B1633" s="1" t="str">
        <f t="shared" si="32"/>
        <v>02406911202</v>
      </c>
      <c r="C1633" s="1" t="s">
        <v>13</v>
      </c>
      <c r="D1633" s="1" t="s">
        <v>180</v>
      </c>
      <c r="E1633" s="1" t="s">
        <v>281</v>
      </c>
      <c r="F1633" s="1" t="s">
        <v>158</v>
      </c>
      <c r="G1633" s="1" t="str">
        <f>"02416870992"</f>
        <v>02416870992</v>
      </c>
      <c r="I1633" s="1" t="s">
        <v>824</v>
      </c>
      <c r="L1633" s="1" t="s">
        <v>43</v>
      </c>
      <c r="M1633" s="1">
        <v>6000</v>
      </c>
      <c r="AG1633" s="1">
        <v>0</v>
      </c>
      <c r="AH1633" s="2">
        <v>45258</v>
      </c>
      <c r="AI1633" s="2">
        <v>45657</v>
      </c>
      <c r="AJ1633" s="2">
        <v>45258</v>
      </c>
    </row>
    <row r="1634" spans="1:36">
      <c r="A1634" s="1" t="str">
        <f>"Z693DDD422"</f>
        <v>Z693DDD422</v>
      </c>
      <c r="B1634" s="1" t="str">
        <f t="shared" si="32"/>
        <v>02406911202</v>
      </c>
      <c r="C1634" s="1" t="s">
        <v>13</v>
      </c>
      <c r="D1634" s="1" t="s">
        <v>180</v>
      </c>
      <c r="E1634" s="1" t="s">
        <v>181</v>
      </c>
      <c r="F1634" s="1" t="s">
        <v>158</v>
      </c>
      <c r="G1634" s="1" t="str">
        <f>"03981260239"</f>
        <v>03981260239</v>
      </c>
      <c r="I1634" s="1" t="s">
        <v>1770</v>
      </c>
      <c r="L1634" s="1" t="s">
        <v>43</v>
      </c>
      <c r="M1634" s="1">
        <v>5000</v>
      </c>
      <c r="AG1634" s="1">
        <v>0</v>
      </c>
      <c r="AH1634" s="2">
        <v>45280</v>
      </c>
      <c r="AI1634" s="2">
        <v>45291</v>
      </c>
      <c r="AJ1634" s="2">
        <v>45280</v>
      </c>
    </row>
    <row r="1635" spans="1:36">
      <c r="A1635" s="1" t="str">
        <f t="shared" ref="A1635:A1643" si="33">"Z6A3C44F8A"</f>
        <v>Z6A3C44F8A</v>
      </c>
      <c r="B1635" s="1" t="str">
        <f t="shared" si="32"/>
        <v>02406911202</v>
      </c>
      <c r="C1635" s="1" t="s">
        <v>13</v>
      </c>
      <c r="D1635" s="1" t="s">
        <v>164</v>
      </c>
      <c r="E1635" s="1" t="s">
        <v>1771</v>
      </c>
      <c r="F1635" s="1" t="s">
        <v>39</v>
      </c>
      <c r="G1635" s="1" t="str">
        <f>"03471940373"</f>
        <v>03471940373</v>
      </c>
      <c r="I1635" s="1" t="s">
        <v>1574</v>
      </c>
      <c r="L1635" s="1" t="s">
        <v>43</v>
      </c>
      <c r="M1635" s="1">
        <v>3300</v>
      </c>
      <c r="AG1635" s="1">
        <v>3300</v>
      </c>
      <c r="AH1635" s="2">
        <v>45166</v>
      </c>
      <c r="AI1635" s="2">
        <v>45291</v>
      </c>
      <c r="AJ1635" s="2">
        <v>45166</v>
      </c>
    </row>
    <row r="1636" spans="1:36">
      <c r="A1636" s="1" t="str">
        <f t="shared" si="33"/>
        <v>Z6A3C44F8A</v>
      </c>
      <c r="B1636" s="1" t="str">
        <f t="shared" si="32"/>
        <v>02406911202</v>
      </c>
      <c r="C1636" s="1" t="s">
        <v>13</v>
      </c>
      <c r="D1636" s="1" t="s">
        <v>164</v>
      </c>
      <c r="E1636" s="1" t="s">
        <v>1771</v>
      </c>
      <c r="F1636" s="1" t="s">
        <v>39</v>
      </c>
      <c r="G1636" s="1" t="str">
        <f>"03359340837"</f>
        <v>03359340837</v>
      </c>
      <c r="I1636" s="1" t="s">
        <v>759</v>
      </c>
      <c r="L1636" s="1" t="s">
        <v>100</v>
      </c>
      <c r="AJ1636" s="2">
        <v>45166</v>
      </c>
    </row>
    <row r="1637" spans="1:36">
      <c r="A1637" s="1" t="str">
        <f t="shared" si="33"/>
        <v>Z6A3C44F8A</v>
      </c>
      <c r="B1637" s="1" t="str">
        <f t="shared" si="32"/>
        <v>02406911202</v>
      </c>
      <c r="C1637" s="1" t="s">
        <v>13</v>
      </c>
      <c r="D1637" s="1" t="s">
        <v>164</v>
      </c>
      <c r="E1637" s="1" t="s">
        <v>1771</v>
      </c>
      <c r="F1637" s="1" t="s">
        <v>39</v>
      </c>
      <c r="G1637" s="1" t="str">
        <f>"01121130197"</f>
        <v>01121130197</v>
      </c>
      <c r="I1637" s="1" t="s">
        <v>1772</v>
      </c>
      <c r="L1637" s="1" t="s">
        <v>100</v>
      </c>
      <c r="AJ1637" s="2">
        <v>45166</v>
      </c>
    </row>
    <row r="1638" spans="1:36">
      <c r="A1638" s="1" t="str">
        <f t="shared" si="33"/>
        <v>Z6A3C44F8A</v>
      </c>
      <c r="B1638" s="1" t="str">
        <f t="shared" si="32"/>
        <v>02406911202</v>
      </c>
      <c r="C1638" s="1" t="s">
        <v>13</v>
      </c>
      <c r="D1638" s="1" t="s">
        <v>164</v>
      </c>
      <c r="E1638" s="1" t="s">
        <v>1771</v>
      </c>
      <c r="F1638" s="1" t="s">
        <v>39</v>
      </c>
      <c r="G1638" s="1" t="str">
        <f>"04427081007"</f>
        <v>04427081007</v>
      </c>
      <c r="I1638" s="1" t="s">
        <v>1575</v>
      </c>
      <c r="L1638" s="1" t="s">
        <v>100</v>
      </c>
      <c r="AJ1638" s="2">
        <v>45166</v>
      </c>
    </row>
    <row r="1639" spans="1:36">
      <c r="A1639" s="1" t="str">
        <f t="shared" si="33"/>
        <v>Z6A3C44F8A</v>
      </c>
      <c r="B1639" s="1" t="str">
        <f t="shared" si="32"/>
        <v>02406911202</v>
      </c>
      <c r="C1639" s="1" t="s">
        <v>13</v>
      </c>
      <c r="D1639" s="1" t="s">
        <v>164</v>
      </c>
      <c r="E1639" s="1" t="s">
        <v>1771</v>
      </c>
      <c r="F1639" s="1" t="s">
        <v>39</v>
      </c>
      <c r="G1639" s="1" t="str">
        <f>"02138390360"</f>
        <v>02138390360</v>
      </c>
      <c r="I1639" s="1" t="s">
        <v>839</v>
      </c>
      <c r="L1639" s="1" t="s">
        <v>100</v>
      </c>
      <c r="AJ1639" s="2">
        <v>45166</v>
      </c>
    </row>
    <row r="1640" spans="1:36">
      <c r="A1640" s="1" t="str">
        <f t="shared" si="33"/>
        <v>Z6A3C44F8A</v>
      </c>
      <c r="B1640" s="1" t="str">
        <f t="shared" si="32"/>
        <v>02406911202</v>
      </c>
      <c r="C1640" s="1" t="s">
        <v>13</v>
      </c>
      <c r="D1640" s="1" t="s">
        <v>164</v>
      </c>
      <c r="E1640" s="1" t="s">
        <v>1771</v>
      </c>
      <c r="F1640" s="1" t="s">
        <v>39</v>
      </c>
      <c r="G1640" s="1" t="str">
        <f>"02491851206"</f>
        <v>02491851206</v>
      </c>
      <c r="I1640" s="1" t="s">
        <v>639</v>
      </c>
      <c r="L1640" s="1" t="s">
        <v>100</v>
      </c>
      <c r="AJ1640" s="2">
        <v>45166</v>
      </c>
    </row>
    <row r="1641" spans="1:36">
      <c r="A1641" s="1" t="str">
        <f t="shared" si="33"/>
        <v>Z6A3C44F8A</v>
      </c>
      <c r="B1641" s="1" t="str">
        <f t="shared" si="32"/>
        <v>02406911202</v>
      </c>
      <c r="C1641" s="1" t="s">
        <v>13</v>
      </c>
      <c r="D1641" s="1" t="s">
        <v>164</v>
      </c>
      <c r="E1641" s="1" t="s">
        <v>1771</v>
      </c>
      <c r="F1641" s="1" t="s">
        <v>39</v>
      </c>
      <c r="G1641" s="1" t="str">
        <f>"PNRGNN63P67B111F"</f>
        <v>PNRGNN63P67B111F</v>
      </c>
      <c r="I1641" s="1" t="s">
        <v>758</v>
      </c>
      <c r="L1641" s="1" t="s">
        <v>100</v>
      </c>
      <c r="AJ1641" s="2">
        <v>45166</v>
      </c>
    </row>
    <row r="1642" spans="1:36">
      <c r="A1642" s="1" t="str">
        <f t="shared" si="33"/>
        <v>Z6A3C44F8A</v>
      </c>
      <c r="B1642" s="1" t="str">
        <f t="shared" si="32"/>
        <v>02406911202</v>
      </c>
      <c r="C1642" s="1" t="s">
        <v>13</v>
      </c>
      <c r="D1642" s="1" t="s">
        <v>164</v>
      </c>
      <c r="E1642" s="1" t="s">
        <v>1771</v>
      </c>
      <c r="F1642" s="1" t="s">
        <v>39</v>
      </c>
      <c r="G1642" s="1" t="str">
        <f>"02602810398"</f>
        <v>02602810398</v>
      </c>
      <c r="I1642" s="1" t="s">
        <v>1773</v>
      </c>
      <c r="L1642" s="1" t="s">
        <v>100</v>
      </c>
      <c r="AJ1642" s="2">
        <v>45166</v>
      </c>
    </row>
    <row r="1643" spans="1:36">
      <c r="A1643" s="1" t="str">
        <f t="shared" si="33"/>
        <v>Z6A3C44F8A</v>
      </c>
      <c r="B1643" s="1" t="str">
        <f t="shared" si="32"/>
        <v>02406911202</v>
      </c>
      <c r="C1643" s="1" t="s">
        <v>13</v>
      </c>
      <c r="D1643" s="1" t="s">
        <v>164</v>
      </c>
      <c r="E1643" s="1" t="s">
        <v>1771</v>
      </c>
      <c r="F1643" s="1" t="s">
        <v>39</v>
      </c>
      <c r="G1643" s="1" t="str">
        <f>"02169281207"</f>
        <v>02169281207</v>
      </c>
      <c r="I1643" s="1" t="s">
        <v>464</v>
      </c>
      <c r="L1643" s="1" t="s">
        <v>100</v>
      </c>
      <c r="AJ1643" s="2">
        <v>45166</v>
      </c>
    </row>
    <row r="1644" spans="1:36">
      <c r="A1644" s="1" t="str">
        <f>"Z6A3D74CB4"</f>
        <v>Z6A3D74CB4</v>
      </c>
      <c r="B1644" s="1" t="str">
        <f t="shared" si="32"/>
        <v>02406911202</v>
      </c>
      <c r="C1644" s="1" t="s">
        <v>13</v>
      </c>
      <c r="D1644" s="1" t="s">
        <v>180</v>
      </c>
      <c r="E1644" s="1" t="s">
        <v>220</v>
      </c>
      <c r="F1644" s="1" t="s">
        <v>158</v>
      </c>
      <c r="G1644" s="1" t="str">
        <f>"11160660152"</f>
        <v>11160660152</v>
      </c>
      <c r="I1644" s="1" t="s">
        <v>457</v>
      </c>
      <c r="L1644" s="1" t="s">
        <v>43</v>
      </c>
      <c r="M1644" s="1">
        <v>6000</v>
      </c>
      <c r="AG1644" s="1">
        <v>0</v>
      </c>
      <c r="AH1644" s="2">
        <v>45258</v>
      </c>
      <c r="AI1644" s="2">
        <v>45657</v>
      </c>
      <c r="AJ1644" s="2">
        <v>45258</v>
      </c>
    </row>
    <row r="1645" spans="1:36">
      <c r="A1645" s="1" t="str">
        <f>"Z6A3DA4782"</f>
        <v>Z6A3DA4782</v>
      </c>
      <c r="B1645" s="1" t="str">
        <f t="shared" si="32"/>
        <v>02406911202</v>
      </c>
      <c r="C1645" s="1" t="s">
        <v>13</v>
      </c>
      <c r="D1645" s="1" t="s">
        <v>180</v>
      </c>
      <c r="E1645" s="1" t="s">
        <v>281</v>
      </c>
      <c r="F1645" s="1" t="s">
        <v>158</v>
      </c>
      <c r="G1645" s="1" t="str">
        <f>"08082461008"</f>
        <v>08082461008</v>
      </c>
      <c r="I1645" s="1" t="s">
        <v>88</v>
      </c>
      <c r="L1645" s="1" t="s">
        <v>43</v>
      </c>
      <c r="M1645" s="1">
        <v>6000</v>
      </c>
      <c r="AG1645" s="1">
        <v>0</v>
      </c>
      <c r="AH1645" s="2">
        <v>45266</v>
      </c>
      <c r="AI1645" s="2">
        <v>45657</v>
      </c>
      <c r="AJ1645" s="2">
        <v>45266</v>
      </c>
    </row>
    <row r="1646" spans="1:36">
      <c r="A1646" s="1" t="str">
        <f>"Z6A3DAF121"</f>
        <v>Z6A3DAF121</v>
      </c>
      <c r="B1646" s="1" t="str">
        <f t="shared" si="32"/>
        <v>02406911202</v>
      </c>
      <c r="C1646" s="1" t="s">
        <v>13</v>
      </c>
      <c r="D1646" s="1" t="s">
        <v>167</v>
      </c>
      <c r="E1646" s="1" t="s">
        <v>1774</v>
      </c>
      <c r="F1646" s="1" t="s">
        <v>151</v>
      </c>
      <c r="G1646" s="1" t="str">
        <f>"01423300183"</f>
        <v>01423300183</v>
      </c>
      <c r="I1646" s="1" t="s">
        <v>1775</v>
      </c>
      <c r="L1646" s="1" t="s">
        <v>43</v>
      </c>
      <c r="M1646" s="1">
        <v>127.09</v>
      </c>
      <c r="AG1646" s="1">
        <v>0</v>
      </c>
      <c r="AH1646" s="2">
        <v>45281</v>
      </c>
      <c r="AI1646" s="2">
        <v>46022</v>
      </c>
      <c r="AJ1646" s="2">
        <v>45281</v>
      </c>
    </row>
    <row r="1647" spans="1:36">
      <c r="A1647" s="1" t="str">
        <f>"Z6B3C3977B"</f>
        <v>Z6B3C3977B</v>
      </c>
      <c r="B1647" s="1" t="str">
        <f t="shared" si="32"/>
        <v>02406911202</v>
      </c>
      <c r="C1647" s="1" t="s">
        <v>13</v>
      </c>
      <c r="D1647" s="1" t="s">
        <v>264</v>
      </c>
      <c r="E1647" s="1" t="s">
        <v>1776</v>
      </c>
      <c r="F1647" s="1" t="s">
        <v>158</v>
      </c>
      <c r="H1647" s="1" t="str">
        <f>"DE347224941"</f>
        <v>DE347224941</v>
      </c>
      <c r="I1647" s="1" t="s">
        <v>1777</v>
      </c>
      <c r="L1647" s="1" t="s">
        <v>43</v>
      </c>
      <c r="M1647" s="1">
        <v>20500</v>
      </c>
      <c r="AG1647" s="1">
        <v>0</v>
      </c>
      <c r="AH1647" s="2">
        <v>45159</v>
      </c>
      <c r="AI1647" s="2">
        <v>45196</v>
      </c>
      <c r="AJ1647" s="2">
        <v>45159</v>
      </c>
    </row>
    <row r="1648" spans="1:36">
      <c r="A1648" s="1" t="str">
        <f>"Z6B3CC7449"</f>
        <v>Z6B3CC7449</v>
      </c>
      <c r="B1648" s="1" t="str">
        <f t="shared" si="32"/>
        <v>02406911202</v>
      </c>
      <c r="C1648" s="1" t="s">
        <v>13</v>
      </c>
      <c r="D1648" s="1" t="s">
        <v>180</v>
      </c>
      <c r="E1648" s="1" t="s">
        <v>281</v>
      </c>
      <c r="F1648" s="1" t="s">
        <v>158</v>
      </c>
      <c r="G1648" s="1" t="str">
        <f>"07747160153"</f>
        <v>07747160153</v>
      </c>
      <c r="I1648" s="1" t="s">
        <v>446</v>
      </c>
      <c r="L1648" s="1" t="s">
        <v>43</v>
      </c>
      <c r="M1648" s="1">
        <v>6000</v>
      </c>
      <c r="AG1648" s="1">
        <v>6940</v>
      </c>
      <c r="AH1648" s="2">
        <v>45209</v>
      </c>
      <c r="AI1648" s="2">
        <v>45291</v>
      </c>
      <c r="AJ1648" s="2">
        <v>45209</v>
      </c>
    </row>
    <row r="1649" spans="1:36">
      <c r="A1649" s="1" t="str">
        <f>"Z6B3CE4BE4"</f>
        <v>Z6B3CE4BE4</v>
      </c>
      <c r="B1649" s="1" t="str">
        <f t="shared" si="32"/>
        <v>02406911202</v>
      </c>
      <c r="C1649" s="1" t="s">
        <v>13</v>
      </c>
      <c r="D1649" s="1" t="s">
        <v>186</v>
      </c>
      <c r="E1649" s="1" t="s">
        <v>1778</v>
      </c>
      <c r="F1649" s="1" t="s">
        <v>158</v>
      </c>
      <c r="G1649" s="1" t="str">
        <f>"02129190373"</f>
        <v>02129190373</v>
      </c>
      <c r="I1649" s="1" t="s">
        <v>968</v>
      </c>
      <c r="L1649" s="1" t="s">
        <v>43</v>
      </c>
      <c r="M1649" s="1">
        <v>4999</v>
      </c>
      <c r="AG1649" s="1">
        <v>900</v>
      </c>
      <c r="AH1649" s="2">
        <v>45217</v>
      </c>
      <c r="AI1649" s="2">
        <v>46022</v>
      </c>
      <c r="AJ1649" s="2">
        <v>45217</v>
      </c>
    </row>
    <row r="1650" spans="1:36">
      <c r="A1650" s="1" t="str">
        <f>"Z6B3D14E8A"</f>
        <v>Z6B3D14E8A</v>
      </c>
      <c r="B1650" s="1" t="str">
        <f t="shared" si="32"/>
        <v>02406911202</v>
      </c>
      <c r="C1650" s="1" t="s">
        <v>13</v>
      </c>
      <c r="D1650" s="1" t="s">
        <v>180</v>
      </c>
      <c r="E1650" s="1" t="s">
        <v>279</v>
      </c>
      <c r="F1650" s="1" t="s">
        <v>158</v>
      </c>
      <c r="G1650" s="1" t="str">
        <f>"12792100153"</f>
        <v>12792100153</v>
      </c>
      <c r="I1650" s="1" t="s">
        <v>58</v>
      </c>
      <c r="L1650" s="1" t="s">
        <v>43</v>
      </c>
      <c r="M1650" s="1">
        <v>5000</v>
      </c>
      <c r="AG1650" s="1">
        <v>0</v>
      </c>
      <c r="AH1650" s="2">
        <v>45230</v>
      </c>
      <c r="AI1650" s="2">
        <v>45291</v>
      </c>
      <c r="AJ1650" s="2">
        <v>45230</v>
      </c>
    </row>
    <row r="1651" spans="1:36">
      <c r="A1651" s="1" t="str">
        <f>"Z6B3D2874F"</f>
        <v>Z6B3D2874F</v>
      </c>
      <c r="B1651" s="1" t="str">
        <f t="shared" si="32"/>
        <v>02406911202</v>
      </c>
      <c r="C1651" s="1" t="s">
        <v>13</v>
      </c>
      <c r="D1651" s="1" t="s">
        <v>186</v>
      </c>
      <c r="E1651" s="1" t="s">
        <v>1779</v>
      </c>
      <c r="F1651" s="1" t="s">
        <v>158</v>
      </c>
      <c r="G1651" s="1" t="str">
        <f>"02895130363"</f>
        <v>02895130363</v>
      </c>
      <c r="I1651" s="1" t="s">
        <v>594</v>
      </c>
      <c r="L1651" s="1" t="s">
        <v>43</v>
      </c>
      <c r="M1651" s="1">
        <v>4999</v>
      </c>
      <c r="AG1651" s="1">
        <v>0</v>
      </c>
      <c r="AH1651" s="2">
        <v>45237</v>
      </c>
      <c r="AI1651" s="2">
        <v>45291</v>
      </c>
      <c r="AJ1651" s="2">
        <v>45237</v>
      </c>
    </row>
    <row r="1652" spans="1:36">
      <c r="A1652" s="1" t="str">
        <f>"Z6B3D2C31E"</f>
        <v>Z6B3D2C31E</v>
      </c>
      <c r="B1652" s="1" t="str">
        <f t="shared" si="32"/>
        <v>02406911202</v>
      </c>
      <c r="C1652" s="1" t="s">
        <v>13</v>
      </c>
      <c r="D1652" s="1" t="s">
        <v>180</v>
      </c>
      <c r="E1652" s="1" t="s">
        <v>281</v>
      </c>
      <c r="F1652" s="1" t="s">
        <v>158</v>
      </c>
      <c r="G1652" s="1" t="str">
        <f>"12572900152"</f>
        <v>12572900152</v>
      </c>
      <c r="I1652" s="1" t="s">
        <v>335</v>
      </c>
      <c r="L1652" s="1" t="s">
        <v>43</v>
      </c>
      <c r="M1652" s="1">
        <v>6000</v>
      </c>
      <c r="AG1652" s="1">
        <v>0</v>
      </c>
      <c r="AH1652" s="2">
        <v>45238</v>
      </c>
      <c r="AI1652" s="2">
        <v>45291</v>
      </c>
      <c r="AJ1652" s="2">
        <v>45238</v>
      </c>
    </row>
    <row r="1653" spans="1:36">
      <c r="A1653" s="1" t="str">
        <f>"Z6B3D3CCD3"</f>
        <v>Z6B3D3CCD3</v>
      </c>
      <c r="B1653" s="1" t="str">
        <f t="shared" si="32"/>
        <v>02406911202</v>
      </c>
      <c r="C1653" s="1" t="s">
        <v>13</v>
      </c>
      <c r="D1653" s="1" t="s">
        <v>264</v>
      </c>
      <c r="E1653" s="1" t="s">
        <v>1780</v>
      </c>
      <c r="F1653" s="1" t="s">
        <v>158</v>
      </c>
      <c r="G1653" s="1" t="str">
        <f>"01989270275"</f>
        <v>01989270275</v>
      </c>
      <c r="I1653" s="1" t="s">
        <v>1781</v>
      </c>
      <c r="L1653" s="1" t="s">
        <v>43</v>
      </c>
      <c r="M1653" s="1">
        <v>200</v>
      </c>
      <c r="AG1653" s="1">
        <v>0</v>
      </c>
      <c r="AH1653" s="2">
        <v>45243</v>
      </c>
      <c r="AI1653" s="2">
        <v>45291</v>
      </c>
      <c r="AJ1653" s="2">
        <v>45243</v>
      </c>
    </row>
    <row r="1654" spans="1:36">
      <c r="A1654" s="1" t="str">
        <f>"Z6B3D437B2"</f>
        <v>Z6B3D437B2</v>
      </c>
      <c r="B1654" s="1" t="str">
        <f t="shared" si="32"/>
        <v>02406911202</v>
      </c>
      <c r="C1654" s="1" t="s">
        <v>13</v>
      </c>
      <c r="D1654" s="1" t="s">
        <v>180</v>
      </c>
      <c r="E1654" s="1" t="s">
        <v>279</v>
      </c>
      <c r="F1654" s="1" t="s">
        <v>158</v>
      </c>
      <c r="G1654" s="1" t="str">
        <f>"05102540019"</f>
        <v>05102540019</v>
      </c>
      <c r="I1654" s="1" t="s">
        <v>836</v>
      </c>
      <c r="L1654" s="1" t="s">
        <v>43</v>
      </c>
      <c r="M1654" s="1">
        <v>5000</v>
      </c>
      <c r="AG1654" s="1">
        <v>0</v>
      </c>
      <c r="AH1654" s="2">
        <v>45244</v>
      </c>
      <c r="AI1654" s="2">
        <v>45657</v>
      </c>
      <c r="AJ1654" s="2">
        <v>45244</v>
      </c>
    </row>
    <row r="1655" spans="1:36">
      <c r="A1655" s="1" t="str">
        <f>"Z6B3D58BEB"</f>
        <v>Z6B3D58BEB</v>
      </c>
      <c r="B1655" s="1" t="str">
        <f t="shared" si="32"/>
        <v>02406911202</v>
      </c>
      <c r="C1655" s="1" t="s">
        <v>13</v>
      </c>
      <c r="D1655" s="1" t="s">
        <v>180</v>
      </c>
      <c r="E1655" s="1" t="s">
        <v>279</v>
      </c>
      <c r="F1655" s="1" t="s">
        <v>158</v>
      </c>
      <c r="G1655" s="1" t="str">
        <f>"12792100153"</f>
        <v>12792100153</v>
      </c>
      <c r="I1655" s="1" t="s">
        <v>58</v>
      </c>
      <c r="L1655" s="1" t="s">
        <v>43</v>
      </c>
      <c r="M1655" s="1">
        <v>6000</v>
      </c>
      <c r="AG1655" s="1">
        <v>0</v>
      </c>
      <c r="AH1655" s="2">
        <v>45250</v>
      </c>
      <c r="AI1655" s="2">
        <v>45291</v>
      </c>
      <c r="AJ1655" s="2">
        <v>45250</v>
      </c>
    </row>
    <row r="1656" spans="1:36">
      <c r="A1656" s="1" t="str">
        <f>"Z6D3CF571E"</f>
        <v>Z6D3CF571E</v>
      </c>
      <c r="B1656" s="1" t="str">
        <f t="shared" si="32"/>
        <v>02406911202</v>
      </c>
      <c r="C1656" s="1" t="s">
        <v>13</v>
      </c>
      <c r="D1656" s="1" t="s">
        <v>177</v>
      </c>
      <c r="E1656" s="1" t="s">
        <v>1782</v>
      </c>
      <c r="F1656" s="1" t="s">
        <v>158</v>
      </c>
      <c r="G1656" s="1" t="str">
        <f>"02439491206"</f>
        <v>02439491206</v>
      </c>
      <c r="I1656" s="1" t="s">
        <v>1783</v>
      </c>
      <c r="L1656" s="1" t="s">
        <v>43</v>
      </c>
      <c r="M1656" s="1">
        <v>5200</v>
      </c>
      <c r="AG1656" s="1">
        <v>4609.3999999999996</v>
      </c>
      <c r="AH1656" s="2">
        <v>45231</v>
      </c>
      <c r="AI1656" s="2">
        <v>45291</v>
      </c>
      <c r="AJ1656" s="2">
        <v>45231</v>
      </c>
    </row>
    <row r="1657" spans="1:36">
      <c r="A1657" s="1" t="str">
        <f>"Z6D3CFBD16"</f>
        <v>Z6D3CFBD16</v>
      </c>
      <c r="B1657" s="1" t="str">
        <f t="shared" si="32"/>
        <v>02406911202</v>
      </c>
      <c r="C1657" s="1" t="s">
        <v>13</v>
      </c>
      <c r="D1657" s="1" t="s">
        <v>180</v>
      </c>
      <c r="E1657" s="1" t="s">
        <v>1784</v>
      </c>
      <c r="F1657" s="1" t="s">
        <v>158</v>
      </c>
      <c r="G1657" s="1" t="str">
        <f>"12432150154"</f>
        <v>12432150154</v>
      </c>
      <c r="I1657" s="1" t="s">
        <v>591</v>
      </c>
      <c r="L1657" s="1" t="s">
        <v>43</v>
      </c>
      <c r="M1657" s="1">
        <v>5000</v>
      </c>
      <c r="AG1657" s="1">
        <v>1395.88</v>
      </c>
      <c r="AH1657" s="2">
        <v>45223</v>
      </c>
      <c r="AI1657" s="2">
        <v>45291</v>
      </c>
      <c r="AJ1657" s="2">
        <v>45223</v>
      </c>
    </row>
    <row r="1658" spans="1:36">
      <c r="A1658" s="1" t="str">
        <f>"Z6D3D4E8B8"</f>
        <v>Z6D3D4E8B8</v>
      </c>
      <c r="B1658" s="1" t="str">
        <f t="shared" si="32"/>
        <v>02406911202</v>
      </c>
      <c r="C1658" s="1" t="s">
        <v>13</v>
      </c>
      <c r="D1658" s="1" t="s">
        <v>180</v>
      </c>
      <c r="E1658" s="1" t="s">
        <v>315</v>
      </c>
      <c r="F1658" s="1" t="s">
        <v>158</v>
      </c>
      <c r="G1658" s="1" t="str">
        <f>"01434070155"</f>
        <v>01434070155</v>
      </c>
      <c r="I1658" s="1" t="s">
        <v>1785</v>
      </c>
      <c r="L1658" s="1" t="s">
        <v>43</v>
      </c>
      <c r="M1658" s="1">
        <v>5</v>
      </c>
      <c r="AG1658" s="1">
        <v>0</v>
      </c>
      <c r="AH1658" s="2">
        <v>45246</v>
      </c>
      <c r="AI1658" s="2">
        <v>45657</v>
      </c>
      <c r="AJ1658" s="2">
        <v>45246</v>
      </c>
    </row>
    <row r="1659" spans="1:36">
      <c r="A1659" s="1" t="str">
        <f>"Z6E3D2B43D"</f>
        <v>Z6E3D2B43D</v>
      </c>
      <c r="B1659" s="1" t="str">
        <f t="shared" si="32"/>
        <v>02406911202</v>
      </c>
      <c r="C1659" s="1" t="s">
        <v>13</v>
      </c>
      <c r="D1659" s="1" t="s">
        <v>177</v>
      </c>
      <c r="E1659" s="1" t="s">
        <v>1786</v>
      </c>
      <c r="F1659" s="1" t="s">
        <v>158</v>
      </c>
      <c r="G1659" s="1" t="str">
        <f>"91190410372"</f>
        <v>91190410372</v>
      </c>
      <c r="I1659" s="1" t="s">
        <v>1787</v>
      </c>
      <c r="L1659" s="1" t="s">
        <v>43</v>
      </c>
      <c r="M1659" s="1">
        <v>310000</v>
      </c>
      <c r="AG1659" s="1">
        <v>10000</v>
      </c>
      <c r="AH1659" s="2">
        <v>45236</v>
      </c>
      <c r="AI1659" s="2">
        <v>47118</v>
      </c>
      <c r="AJ1659" s="2">
        <v>45236</v>
      </c>
    </row>
    <row r="1660" spans="1:36">
      <c r="A1660" s="1" t="str">
        <f>"Z703CBDAB8"</f>
        <v>Z703CBDAB8</v>
      </c>
      <c r="B1660" s="1" t="str">
        <f t="shared" si="32"/>
        <v>02406911202</v>
      </c>
      <c r="C1660" s="1" t="s">
        <v>13</v>
      </c>
      <c r="D1660" s="1" t="s">
        <v>167</v>
      </c>
      <c r="E1660" s="1" t="s">
        <v>1788</v>
      </c>
      <c r="F1660" s="1" t="s">
        <v>39</v>
      </c>
      <c r="G1660" s="1" t="str">
        <f>"00674840152"</f>
        <v>00674840152</v>
      </c>
      <c r="I1660" s="1" t="s">
        <v>87</v>
      </c>
      <c r="L1660" s="1" t="s">
        <v>43</v>
      </c>
      <c r="M1660" s="1">
        <v>35000</v>
      </c>
      <c r="AG1660" s="1">
        <v>0</v>
      </c>
      <c r="AH1660" s="2">
        <v>45207</v>
      </c>
      <c r="AI1660" s="2">
        <v>45389</v>
      </c>
      <c r="AJ1660" s="2">
        <v>45207</v>
      </c>
    </row>
    <row r="1661" spans="1:36">
      <c r="A1661" s="1" t="str">
        <f>"Z703D054E3"</f>
        <v>Z703D054E3</v>
      </c>
      <c r="B1661" s="1" t="str">
        <f t="shared" si="32"/>
        <v>02406911202</v>
      </c>
      <c r="C1661" s="1" t="s">
        <v>13</v>
      </c>
      <c r="D1661" s="1" t="s">
        <v>180</v>
      </c>
      <c r="E1661" s="1" t="s">
        <v>279</v>
      </c>
      <c r="F1661" s="1" t="s">
        <v>158</v>
      </c>
      <c r="G1661" s="1" t="str">
        <f>"13209130155"</f>
        <v>13209130155</v>
      </c>
      <c r="I1661" s="1" t="s">
        <v>293</v>
      </c>
      <c r="L1661" s="1" t="s">
        <v>43</v>
      </c>
      <c r="M1661" s="1">
        <v>5000</v>
      </c>
      <c r="AG1661" s="1">
        <v>0</v>
      </c>
      <c r="AH1661" s="2">
        <v>45225</v>
      </c>
      <c r="AI1661" s="2">
        <v>45291</v>
      </c>
      <c r="AJ1661" s="2">
        <v>45225</v>
      </c>
    </row>
    <row r="1662" spans="1:36">
      <c r="A1662" s="1" t="str">
        <f>"Z703D1D24A"</f>
        <v>Z703D1D24A</v>
      </c>
      <c r="B1662" s="1" t="str">
        <f t="shared" si="32"/>
        <v>02406911202</v>
      </c>
      <c r="C1662" s="1" t="s">
        <v>13</v>
      </c>
      <c r="D1662" s="1" t="s">
        <v>180</v>
      </c>
      <c r="E1662" s="1" t="s">
        <v>279</v>
      </c>
      <c r="F1662" s="1" t="s">
        <v>158</v>
      </c>
      <c r="H1662" s="1" t="str">
        <f>"825580900B01"</f>
        <v>825580900B01</v>
      </c>
      <c r="I1662" s="1" t="s">
        <v>467</v>
      </c>
      <c r="L1662" s="1" t="s">
        <v>43</v>
      </c>
      <c r="M1662" s="1">
        <v>39999</v>
      </c>
      <c r="AG1662" s="1">
        <v>0</v>
      </c>
      <c r="AH1662" s="2">
        <v>45233</v>
      </c>
      <c r="AI1662" s="2">
        <v>45291</v>
      </c>
      <c r="AJ1662" s="2">
        <v>45233</v>
      </c>
    </row>
    <row r="1663" spans="1:36">
      <c r="A1663" s="1" t="str">
        <f>"Z703DE6EF9"</f>
        <v>Z703DE6EF9</v>
      </c>
      <c r="B1663" s="1" t="str">
        <f t="shared" si="32"/>
        <v>02406911202</v>
      </c>
      <c r="C1663" s="1" t="s">
        <v>13</v>
      </c>
      <c r="D1663" s="1" t="s">
        <v>167</v>
      </c>
      <c r="E1663" s="1" t="s">
        <v>1789</v>
      </c>
      <c r="F1663" s="1" t="s">
        <v>158</v>
      </c>
      <c r="G1663" s="1" t="str">
        <f>"00399810589"</f>
        <v>00399810589</v>
      </c>
      <c r="I1663" s="1" t="s">
        <v>1522</v>
      </c>
      <c r="L1663" s="1" t="s">
        <v>43</v>
      </c>
      <c r="M1663" s="1">
        <v>901.16</v>
      </c>
      <c r="AG1663" s="1">
        <v>0</v>
      </c>
      <c r="AH1663" s="2">
        <v>45281</v>
      </c>
      <c r="AI1663" s="2">
        <v>45291</v>
      </c>
      <c r="AJ1663" s="2">
        <v>45281</v>
      </c>
    </row>
    <row r="1664" spans="1:36">
      <c r="A1664" s="1" t="str">
        <f>"Z713D4F68B"</f>
        <v>Z713D4F68B</v>
      </c>
      <c r="B1664" s="1" t="str">
        <f t="shared" si="32"/>
        <v>02406911202</v>
      </c>
      <c r="C1664" s="1" t="s">
        <v>13</v>
      </c>
      <c r="D1664" s="1" t="s">
        <v>180</v>
      </c>
      <c r="E1664" s="1" t="s">
        <v>279</v>
      </c>
      <c r="F1664" s="1" t="s">
        <v>158</v>
      </c>
      <c r="G1664" s="1" t="str">
        <f>"05158401009"</f>
        <v>05158401009</v>
      </c>
      <c r="I1664" s="1" t="s">
        <v>746</v>
      </c>
      <c r="L1664" s="1" t="s">
        <v>43</v>
      </c>
      <c r="M1664" s="1">
        <v>5000</v>
      </c>
      <c r="AG1664" s="1">
        <v>0</v>
      </c>
      <c r="AH1664" s="2">
        <v>45246</v>
      </c>
      <c r="AI1664" s="2">
        <v>45657</v>
      </c>
      <c r="AJ1664" s="2">
        <v>45246</v>
      </c>
    </row>
    <row r="1665" spans="1:36">
      <c r="A1665" s="1" t="str">
        <f>"Z723C7E37E"</f>
        <v>Z723C7E37E</v>
      </c>
      <c r="B1665" s="1" t="str">
        <f t="shared" si="32"/>
        <v>02406911202</v>
      </c>
      <c r="C1665" s="1" t="s">
        <v>13</v>
      </c>
      <c r="D1665" s="1" t="s">
        <v>264</v>
      </c>
      <c r="E1665" s="1" t="s">
        <v>1790</v>
      </c>
      <c r="F1665" s="1" t="s">
        <v>158</v>
      </c>
      <c r="G1665" s="1" t="str">
        <f>"94294570489"</f>
        <v>94294570489</v>
      </c>
      <c r="I1665" s="1" t="s">
        <v>1646</v>
      </c>
      <c r="L1665" s="1" t="s">
        <v>43</v>
      </c>
      <c r="M1665" s="1">
        <v>16300</v>
      </c>
      <c r="AG1665" s="1">
        <v>0</v>
      </c>
      <c r="AH1665" s="2">
        <v>45187</v>
      </c>
      <c r="AI1665" s="2">
        <v>45236</v>
      </c>
      <c r="AJ1665" s="2">
        <v>45187</v>
      </c>
    </row>
    <row r="1666" spans="1:36">
      <c r="A1666" s="1" t="str">
        <f>"Z723C7E37E"</f>
        <v>Z723C7E37E</v>
      </c>
      <c r="B1666" s="1" t="str">
        <f t="shared" ref="B1666:B1729" si="34">"02406911202"</f>
        <v>02406911202</v>
      </c>
      <c r="C1666" s="1" t="s">
        <v>13</v>
      </c>
      <c r="D1666" s="1" t="s">
        <v>264</v>
      </c>
      <c r="E1666" s="1" t="s">
        <v>1790</v>
      </c>
      <c r="F1666" s="1" t="s">
        <v>158</v>
      </c>
      <c r="H1666" s="1" t="str">
        <f>"DE347224941"</f>
        <v>DE347224941</v>
      </c>
      <c r="I1666" s="1" t="s">
        <v>1777</v>
      </c>
      <c r="L1666" s="1" t="s">
        <v>100</v>
      </c>
      <c r="AJ1666" s="2">
        <v>45187</v>
      </c>
    </row>
    <row r="1667" spans="1:36">
      <c r="A1667" s="1" t="str">
        <f>"Z723D0913C"</f>
        <v>Z723D0913C</v>
      </c>
      <c r="B1667" s="1" t="str">
        <f t="shared" si="34"/>
        <v>02406911202</v>
      </c>
      <c r="C1667" s="1" t="s">
        <v>13</v>
      </c>
      <c r="D1667" s="1" t="s">
        <v>264</v>
      </c>
      <c r="E1667" s="1" t="s">
        <v>1791</v>
      </c>
      <c r="F1667" s="1" t="s">
        <v>158</v>
      </c>
      <c r="G1667" s="1" t="str">
        <f>"10574970017"</f>
        <v>10574970017</v>
      </c>
      <c r="I1667" s="1" t="s">
        <v>782</v>
      </c>
      <c r="L1667" s="1" t="s">
        <v>43</v>
      </c>
      <c r="M1667" s="1">
        <v>35000</v>
      </c>
      <c r="AG1667" s="1">
        <v>0</v>
      </c>
      <c r="AH1667" s="2">
        <v>45226</v>
      </c>
      <c r="AI1667" s="2">
        <v>45236</v>
      </c>
      <c r="AJ1667" s="2">
        <v>45226</v>
      </c>
    </row>
    <row r="1668" spans="1:36">
      <c r="A1668" s="1" t="str">
        <f>"Z723D0913C"</f>
        <v>Z723D0913C</v>
      </c>
      <c r="B1668" s="1" t="str">
        <f t="shared" si="34"/>
        <v>02406911202</v>
      </c>
      <c r="C1668" s="1" t="s">
        <v>13</v>
      </c>
      <c r="D1668" s="1" t="s">
        <v>264</v>
      </c>
      <c r="E1668" s="1" t="s">
        <v>1791</v>
      </c>
      <c r="F1668" s="1" t="s">
        <v>158</v>
      </c>
      <c r="G1668" s="1" t="str">
        <f>"05131180969"</f>
        <v>05131180969</v>
      </c>
      <c r="I1668" s="1" t="s">
        <v>1215</v>
      </c>
      <c r="L1668" s="1" t="s">
        <v>100</v>
      </c>
      <c r="AJ1668" s="2">
        <v>45226</v>
      </c>
    </row>
    <row r="1669" spans="1:36">
      <c r="A1669" s="1" t="str">
        <f>"Z723D0913C"</f>
        <v>Z723D0913C</v>
      </c>
      <c r="B1669" s="1" t="str">
        <f t="shared" si="34"/>
        <v>02406911202</v>
      </c>
      <c r="C1669" s="1" t="s">
        <v>13</v>
      </c>
      <c r="D1669" s="1" t="s">
        <v>264</v>
      </c>
      <c r="E1669" s="1" t="s">
        <v>1791</v>
      </c>
      <c r="F1669" s="1" t="s">
        <v>158</v>
      </c>
      <c r="G1669" s="1" t="str">
        <f>"01778520302"</f>
        <v>01778520302</v>
      </c>
      <c r="I1669" s="1" t="s">
        <v>80</v>
      </c>
      <c r="L1669" s="1" t="s">
        <v>100</v>
      </c>
      <c r="AJ1669" s="2">
        <v>45226</v>
      </c>
    </row>
    <row r="1670" spans="1:36">
      <c r="A1670" s="1" t="str">
        <f>"Z723D0913C"</f>
        <v>Z723D0913C</v>
      </c>
      <c r="B1670" s="1" t="str">
        <f t="shared" si="34"/>
        <v>02406911202</v>
      </c>
      <c r="C1670" s="1" t="s">
        <v>13</v>
      </c>
      <c r="D1670" s="1" t="s">
        <v>264</v>
      </c>
      <c r="E1670" s="1" t="s">
        <v>1791</v>
      </c>
      <c r="F1670" s="1" t="s">
        <v>158</v>
      </c>
      <c r="G1670" s="1" t="str">
        <f>"01170970998"</f>
        <v>01170970998</v>
      </c>
      <c r="I1670" s="1" t="s">
        <v>1792</v>
      </c>
      <c r="L1670" s="1" t="s">
        <v>100</v>
      </c>
      <c r="AJ1670" s="2">
        <v>45226</v>
      </c>
    </row>
    <row r="1671" spans="1:36">
      <c r="A1671" s="1" t="str">
        <f>"Z723D0913C"</f>
        <v>Z723D0913C</v>
      </c>
      <c r="B1671" s="1" t="str">
        <f t="shared" si="34"/>
        <v>02406911202</v>
      </c>
      <c r="C1671" s="1" t="s">
        <v>13</v>
      </c>
      <c r="D1671" s="1" t="s">
        <v>264</v>
      </c>
      <c r="E1671" s="1" t="s">
        <v>1791</v>
      </c>
      <c r="F1671" s="1" t="s">
        <v>158</v>
      </c>
      <c r="G1671" s="1" t="str">
        <f>"91155450371"</f>
        <v>91155450371</v>
      </c>
      <c r="I1671" s="1" t="s">
        <v>369</v>
      </c>
      <c r="L1671" s="1" t="s">
        <v>100</v>
      </c>
      <c r="AJ1671" s="2">
        <v>45226</v>
      </c>
    </row>
    <row r="1672" spans="1:36">
      <c r="A1672" s="1" t="str">
        <f>"Z723D12D21"</f>
        <v>Z723D12D21</v>
      </c>
      <c r="B1672" s="1" t="str">
        <f t="shared" si="34"/>
        <v>02406911202</v>
      </c>
      <c r="C1672" s="1" t="s">
        <v>13</v>
      </c>
      <c r="D1672" s="1" t="s">
        <v>180</v>
      </c>
      <c r="E1672" s="1" t="s">
        <v>279</v>
      </c>
      <c r="F1672" s="1" t="s">
        <v>158</v>
      </c>
      <c r="G1672" s="1" t="str">
        <f>"07617050153"</f>
        <v>07617050153</v>
      </c>
      <c r="I1672" s="1" t="s">
        <v>1031</v>
      </c>
      <c r="L1672" s="1" t="s">
        <v>43</v>
      </c>
      <c r="M1672" s="1">
        <v>5000</v>
      </c>
      <c r="AG1672" s="1">
        <v>0</v>
      </c>
      <c r="AH1672" s="2">
        <v>45230</v>
      </c>
      <c r="AI1672" s="2">
        <v>45291</v>
      </c>
      <c r="AJ1672" s="2">
        <v>45230</v>
      </c>
    </row>
    <row r="1673" spans="1:36">
      <c r="A1673" s="1" t="str">
        <f>"Z733641B9C"</f>
        <v>Z733641B9C</v>
      </c>
      <c r="B1673" s="1" t="str">
        <f t="shared" si="34"/>
        <v>02406911202</v>
      </c>
      <c r="C1673" s="1" t="s">
        <v>13</v>
      </c>
      <c r="D1673" s="1" t="s">
        <v>177</v>
      </c>
      <c r="E1673" s="1" t="s">
        <v>1793</v>
      </c>
      <c r="F1673" s="1" t="s">
        <v>158</v>
      </c>
      <c r="G1673" s="1" t="str">
        <f>"SPSGNZ79E12G812G"</f>
        <v>SPSGNZ79E12G812G</v>
      </c>
      <c r="I1673" s="1" t="s">
        <v>1794</v>
      </c>
      <c r="L1673" s="1" t="s">
        <v>43</v>
      </c>
      <c r="M1673" s="1">
        <v>350</v>
      </c>
      <c r="AG1673" s="1">
        <v>350</v>
      </c>
      <c r="AH1673" s="2">
        <v>45278</v>
      </c>
      <c r="AI1673" s="2">
        <v>45279</v>
      </c>
      <c r="AJ1673" s="2">
        <v>45278</v>
      </c>
    </row>
    <row r="1674" spans="1:36">
      <c r="A1674" s="1" t="str">
        <f>"Z733C92F29"</f>
        <v>Z733C92F29</v>
      </c>
      <c r="B1674" s="1" t="str">
        <f t="shared" si="34"/>
        <v>02406911202</v>
      </c>
      <c r="C1674" s="1" t="s">
        <v>13</v>
      </c>
      <c r="D1674" s="1" t="s">
        <v>164</v>
      </c>
      <c r="E1674" s="1" t="s">
        <v>1795</v>
      </c>
      <c r="F1674" s="1" t="s">
        <v>158</v>
      </c>
      <c r="G1674" s="1" t="str">
        <f>"02376321200"</f>
        <v>02376321200</v>
      </c>
      <c r="I1674" s="1" t="s">
        <v>376</v>
      </c>
      <c r="L1674" s="1" t="s">
        <v>43</v>
      </c>
      <c r="M1674" s="1">
        <v>767</v>
      </c>
      <c r="AG1674" s="1">
        <v>767</v>
      </c>
      <c r="AH1674" s="2">
        <v>45194</v>
      </c>
      <c r="AI1674" s="2">
        <v>45291</v>
      </c>
      <c r="AJ1674" s="2">
        <v>45194</v>
      </c>
    </row>
    <row r="1675" spans="1:36">
      <c r="A1675" s="1" t="str">
        <f>"Z733D27EAE"</f>
        <v>Z733D27EAE</v>
      </c>
      <c r="B1675" s="1" t="str">
        <f t="shared" si="34"/>
        <v>02406911202</v>
      </c>
      <c r="C1675" s="1" t="s">
        <v>13</v>
      </c>
      <c r="D1675" s="1" t="s">
        <v>186</v>
      </c>
      <c r="E1675" s="1" t="s">
        <v>1796</v>
      </c>
      <c r="F1675" s="1" t="s">
        <v>158</v>
      </c>
      <c r="G1675" s="1" t="str">
        <f>"01865630287"</f>
        <v>01865630287</v>
      </c>
      <c r="I1675" s="1" t="s">
        <v>234</v>
      </c>
      <c r="L1675" s="1" t="s">
        <v>43</v>
      </c>
      <c r="M1675" s="1">
        <v>4999</v>
      </c>
      <c r="AG1675" s="1">
        <v>0</v>
      </c>
      <c r="AH1675" s="2">
        <v>45237</v>
      </c>
      <c r="AI1675" s="2">
        <v>45657</v>
      </c>
      <c r="AJ1675" s="2">
        <v>45237</v>
      </c>
    </row>
    <row r="1676" spans="1:36">
      <c r="A1676" s="1" t="str">
        <f>"Z733D2C44B"</f>
        <v>Z733D2C44B</v>
      </c>
      <c r="B1676" s="1" t="str">
        <f t="shared" si="34"/>
        <v>02406911202</v>
      </c>
      <c r="C1676" s="1" t="s">
        <v>13</v>
      </c>
      <c r="D1676" s="1" t="s">
        <v>180</v>
      </c>
      <c r="E1676" s="1" t="s">
        <v>281</v>
      </c>
      <c r="F1676" s="1" t="s">
        <v>158</v>
      </c>
      <c r="G1676" s="1" t="str">
        <f>"00972790109"</f>
        <v>00972790109</v>
      </c>
      <c r="I1676" s="1" t="s">
        <v>934</v>
      </c>
      <c r="L1676" s="1" t="s">
        <v>43</v>
      </c>
      <c r="M1676" s="1">
        <v>6000</v>
      </c>
      <c r="AG1676" s="1">
        <v>0</v>
      </c>
      <c r="AH1676" s="2">
        <v>45239</v>
      </c>
      <c r="AI1676" s="2">
        <v>45291</v>
      </c>
      <c r="AJ1676" s="2">
        <v>45239</v>
      </c>
    </row>
    <row r="1677" spans="1:36">
      <c r="A1677" s="1" t="str">
        <f>"Z733D347AD"</f>
        <v>Z733D347AD</v>
      </c>
      <c r="B1677" s="1" t="str">
        <f t="shared" si="34"/>
        <v>02406911202</v>
      </c>
      <c r="C1677" s="1" t="s">
        <v>13</v>
      </c>
      <c r="D1677" s="1" t="s">
        <v>177</v>
      </c>
      <c r="E1677" s="1" t="s">
        <v>1797</v>
      </c>
      <c r="F1677" s="1" t="s">
        <v>158</v>
      </c>
      <c r="G1677" s="1" t="str">
        <f>"03131021200"</f>
        <v>03131021200</v>
      </c>
      <c r="I1677" s="1" t="s">
        <v>268</v>
      </c>
      <c r="L1677" s="1" t="s">
        <v>43</v>
      </c>
      <c r="M1677" s="1">
        <v>20000</v>
      </c>
      <c r="AG1677" s="1">
        <v>0</v>
      </c>
      <c r="AH1677" s="2">
        <v>45231</v>
      </c>
      <c r="AI1677" s="2">
        <v>45961</v>
      </c>
      <c r="AJ1677" s="2">
        <v>45231</v>
      </c>
    </row>
    <row r="1678" spans="1:36">
      <c r="A1678" s="1" t="str">
        <f>"Z733D45B30"</f>
        <v>Z733D45B30</v>
      </c>
      <c r="B1678" s="1" t="str">
        <f t="shared" si="34"/>
        <v>02406911202</v>
      </c>
      <c r="C1678" s="1" t="s">
        <v>13</v>
      </c>
      <c r="D1678" s="1" t="s">
        <v>177</v>
      </c>
      <c r="E1678" s="1" t="s">
        <v>1798</v>
      </c>
      <c r="F1678" s="1" t="s">
        <v>158</v>
      </c>
      <c r="G1678" s="1" t="str">
        <f>"91424290376"</f>
        <v>91424290376</v>
      </c>
      <c r="I1678" s="1" t="s">
        <v>1799</v>
      </c>
      <c r="L1678" s="1" t="s">
        <v>43</v>
      </c>
      <c r="M1678" s="1">
        <v>1700</v>
      </c>
      <c r="AG1678" s="1">
        <v>0</v>
      </c>
      <c r="AH1678" s="2">
        <v>45139</v>
      </c>
      <c r="AI1678" s="2">
        <v>45291</v>
      </c>
      <c r="AJ1678" s="2">
        <v>45139</v>
      </c>
    </row>
    <row r="1679" spans="1:36">
      <c r="A1679" s="1" t="str">
        <f>"Z733D81B11"</f>
        <v>Z733D81B11</v>
      </c>
      <c r="B1679" s="1" t="str">
        <f t="shared" si="34"/>
        <v>02406911202</v>
      </c>
      <c r="C1679" s="1" t="s">
        <v>13</v>
      </c>
      <c r="D1679" s="1" t="s">
        <v>180</v>
      </c>
      <c r="E1679" s="1" t="s">
        <v>244</v>
      </c>
      <c r="F1679" s="1" t="s">
        <v>158</v>
      </c>
      <c r="G1679" s="1" t="str">
        <f>"03597020373"</f>
        <v>03597020373</v>
      </c>
      <c r="I1679" s="1" t="s">
        <v>254</v>
      </c>
      <c r="L1679" s="1" t="s">
        <v>43</v>
      </c>
      <c r="M1679" s="1">
        <v>6000</v>
      </c>
      <c r="AG1679" s="1">
        <v>0</v>
      </c>
      <c r="AH1679" s="2">
        <v>45260</v>
      </c>
      <c r="AI1679" s="2">
        <v>45657</v>
      </c>
      <c r="AJ1679" s="2">
        <v>45260</v>
      </c>
    </row>
    <row r="1680" spans="1:36">
      <c r="A1680" s="1" t="str">
        <f>"Z733DA3362"</f>
        <v>Z733DA3362</v>
      </c>
      <c r="B1680" s="1" t="str">
        <f t="shared" si="34"/>
        <v>02406911202</v>
      </c>
      <c r="C1680" s="1" t="s">
        <v>13</v>
      </c>
      <c r="D1680" s="1" t="s">
        <v>186</v>
      </c>
      <c r="E1680" s="1" t="s">
        <v>1800</v>
      </c>
      <c r="F1680" s="1" t="s">
        <v>158</v>
      </c>
      <c r="G1680" s="1" t="str">
        <f>"01067490050"</f>
        <v>01067490050</v>
      </c>
      <c r="I1680" s="1" t="s">
        <v>211</v>
      </c>
      <c r="L1680" s="1" t="s">
        <v>43</v>
      </c>
      <c r="M1680" s="1">
        <v>4999</v>
      </c>
      <c r="AG1680" s="1">
        <v>0</v>
      </c>
      <c r="AH1680" s="2">
        <v>45266</v>
      </c>
      <c r="AI1680" s="2">
        <v>46022</v>
      </c>
      <c r="AJ1680" s="2">
        <v>45266</v>
      </c>
    </row>
    <row r="1681" spans="1:36">
      <c r="A1681" s="1" t="str">
        <f>"Z743CA5592"</f>
        <v>Z743CA5592</v>
      </c>
      <c r="B1681" s="1" t="str">
        <f t="shared" si="34"/>
        <v>02406911202</v>
      </c>
      <c r="C1681" s="1" t="s">
        <v>13</v>
      </c>
      <c r="D1681" s="1" t="s">
        <v>180</v>
      </c>
      <c r="E1681" s="1" t="s">
        <v>220</v>
      </c>
      <c r="F1681" s="1" t="s">
        <v>158</v>
      </c>
      <c r="G1681" s="1" t="str">
        <f>"06068041000"</f>
        <v>06068041000</v>
      </c>
      <c r="I1681" s="1" t="s">
        <v>468</v>
      </c>
      <c r="L1681" s="1" t="s">
        <v>43</v>
      </c>
      <c r="M1681" s="1">
        <v>5000</v>
      </c>
      <c r="AG1681" s="1">
        <v>5500</v>
      </c>
      <c r="AH1681" s="2">
        <v>45198</v>
      </c>
      <c r="AI1681" s="2">
        <v>45291</v>
      </c>
      <c r="AJ1681" s="2">
        <v>45198</v>
      </c>
    </row>
    <row r="1682" spans="1:36">
      <c r="A1682" s="1" t="str">
        <f t="shared" ref="A1682:A1696" si="35">"Z743CACC35"</f>
        <v>Z743CACC35</v>
      </c>
      <c r="B1682" s="1" t="str">
        <f t="shared" si="34"/>
        <v>02406911202</v>
      </c>
      <c r="C1682" s="1" t="s">
        <v>13</v>
      </c>
      <c r="D1682" s="1" t="s">
        <v>164</v>
      </c>
      <c r="E1682" s="1" t="s">
        <v>1801</v>
      </c>
      <c r="F1682" s="1" t="s">
        <v>39</v>
      </c>
      <c r="G1682" s="1" t="str">
        <f>"00624681201"</f>
        <v>00624681201</v>
      </c>
      <c r="I1682" s="1" t="s">
        <v>1802</v>
      </c>
      <c r="L1682" s="1" t="s">
        <v>43</v>
      </c>
      <c r="M1682" s="1">
        <v>11366</v>
      </c>
      <c r="AG1682" s="1">
        <v>0</v>
      </c>
      <c r="AH1682" s="2">
        <v>45201</v>
      </c>
      <c r="AI1682" s="2">
        <v>45291</v>
      </c>
      <c r="AJ1682" s="2">
        <v>45201</v>
      </c>
    </row>
    <row r="1683" spans="1:36">
      <c r="A1683" s="1" t="str">
        <f t="shared" si="35"/>
        <v>Z743CACC35</v>
      </c>
      <c r="B1683" s="1" t="str">
        <f t="shared" si="34"/>
        <v>02406911202</v>
      </c>
      <c r="C1683" s="1" t="s">
        <v>13</v>
      </c>
      <c r="D1683" s="1" t="s">
        <v>164</v>
      </c>
      <c r="E1683" s="1" t="s">
        <v>1801</v>
      </c>
      <c r="F1683" s="1" t="s">
        <v>39</v>
      </c>
      <c r="G1683" s="1" t="str">
        <f>"03359340837"</f>
        <v>03359340837</v>
      </c>
      <c r="I1683" s="1" t="s">
        <v>759</v>
      </c>
      <c r="L1683" s="1" t="s">
        <v>100</v>
      </c>
      <c r="AJ1683" s="2">
        <v>45201</v>
      </c>
    </row>
    <row r="1684" spans="1:36">
      <c r="A1684" s="1" t="str">
        <f t="shared" si="35"/>
        <v>Z743CACC35</v>
      </c>
      <c r="B1684" s="1" t="str">
        <f t="shared" si="34"/>
        <v>02406911202</v>
      </c>
      <c r="C1684" s="1" t="s">
        <v>13</v>
      </c>
      <c r="D1684" s="1" t="s">
        <v>164</v>
      </c>
      <c r="E1684" s="1" t="s">
        <v>1801</v>
      </c>
      <c r="F1684" s="1" t="s">
        <v>39</v>
      </c>
      <c r="G1684" s="1" t="str">
        <f>"04427081007"</f>
        <v>04427081007</v>
      </c>
      <c r="I1684" s="1" t="s">
        <v>1575</v>
      </c>
      <c r="L1684" s="1" t="s">
        <v>100</v>
      </c>
      <c r="AJ1684" s="2">
        <v>45201</v>
      </c>
    </row>
    <row r="1685" spans="1:36">
      <c r="A1685" s="1" t="str">
        <f t="shared" si="35"/>
        <v>Z743CACC35</v>
      </c>
      <c r="B1685" s="1" t="str">
        <f t="shared" si="34"/>
        <v>02406911202</v>
      </c>
      <c r="C1685" s="1" t="s">
        <v>13</v>
      </c>
      <c r="D1685" s="1" t="s">
        <v>164</v>
      </c>
      <c r="E1685" s="1" t="s">
        <v>1801</v>
      </c>
      <c r="F1685" s="1" t="s">
        <v>39</v>
      </c>
      <c r="G1685" s="1" t="str">
        <f>"04606020875"</f>
        <v>04606020875</v>
      </c>
      <c r="I1685" s="1" t="s">
        <v>470</v>
      </c>
      <c r="L1685" s="1" t="s">
        <v>100</v>
      </c>
      <c r="AJ1685" s="2">
        <v>45201</v>
      </c>
    </row>
    <row r="1686" spans="1:36">
      <c r="A1686" s="1" t="str">
        <f t="shared" si="35"/>
        <v>Z743CACC35</v>
      </c>
      <c r="B1686" s="1" t="str">
        <f t="shared" si="34"/>
        <v>02406911202</v>
      </c>
      <c r="C1686" s="1" t="s">
        <v>13</v>
      </c>
      <c r="D1686" s="1" t="s">
        <v>164</v>
      </c>
      <c r="E1686" s="1" t="s">
        <v>1801</v>
      </c>
      <c r="F1686" s="1" t="s">
        <v>39</v>
      </c>
      <c r="G1686" s="1" t="str">
        <f>"02376321200"</f>
        <v>02376321200</v>
      </c>
      <c r="I1686" s="1" t="s">
        <v>376</v>
      </c>
      <c r="L1686" s="1" t="s">
        <v>100</v>
      </c>
      <c r="AJ1686" s="2">
        <v>45201</v>
      </c>
    </row>
    <row r="1687" spans="1:36">
      <c r="A1687" s="1" t="str">
        <f t="shared" si="35"/>
        <v>Z743CACC35</v>
      </c>
      <c r="B1687" s="1" t="str">
        <f t="shared" si="34"/>
        <v>02406911202</v>
      </c>
      <c r="C1687" s="1" t="s">
        <v>13</v>
      </c>
      <c r="D1687" s="1" t="s">
        <v>164</v>
      </c>
      <c r="E1687" s="1" t="s">
        <v>1801</v>
      </c>
      <c r="F1687" s="1" t="s">
        <v>39</v>
      </c>
      <c r="G1687" s="1" t="str">
        <f>"02138390360"</f>
        <v>02138390360</v>
      </c>
      <c r="I1687" s="1" t="s">
        <v>839</v>
      </c>
      <c r="L1687" s="1" t="s">
        <v>100</v>
      </c>
      <c r="AJ1687" s="2">
        <v>45201</v>
      </c>
    </row>
    <row r="1688" spans="1:36">
      <c r="A1688" s="1" t="str">
        <f t="shared" si="35"/>
        <v>Z743CACC35</v>
      </c>
      <c r="B1688" s="1" t="str">
        <f t="shared" si="34"/>
        <v>02406911202</v>
      </c>
      <c r="C1688" s="1" t="s">
        <v>13</v>
      </c>
      <c r="D1688" s="1" t="s">
        <v>164</v>
      </c>
      <c r="E1688" s="1" t="s">
        <v>1801</v>
      </c>
      <c r="F1688" s="1" t="s">
        <v>39</v>
      </c>
      <c r="G1688" s="1" t="str">
        <f>"03349070361"</f>
        <v>03349070361</v>
      </c>
      <c r="I1688" s="1" t="s">
        <v>1803</v>
      </c>
      <c r="L1688" s="1" t="s">
        <v>100</v>
      </c>
      <c r="AJ1688" s="2">
        <v>45201</v>
      </c>
    </row>
    <row r="1689" spans="1:36">
      <c r="A1689" s="1" t="str">
        <f t="shared" si="35"/>
        <v>Z743CACC35</v>
      </c>
      <c r="B1689" s="1" t="str">
        <f t="shared" si="34"/>
        <v>02406911202</v>
      </c>
      <c r="C1689" s="1" t="s">
        <v>13</v>
      </c>
      <c r="D1689" s="1" t="s">
        <v>164</v>
      </c>
      <c r="E1689" s="1" t="s">
        <v>1801</v>
      </c>
      <c r="F1689" s="1" t="s">
        <v>39</v>
      </c>
      <c r="G1689" s="1" t="str">
        <f>"01989510134"</f>
        <v>01989510134</v>
      </c>
      <c r="I1689" s="1" t="s">
        <v>1804</v>
      </c>
      <c r="L1689" s="1" t="s">
        <v>100</v>
      </c>
      <c r="AJ1689" s="2">
        <v>45201</v>
      </c>
    </row>
    <row r="1690" spans="1:36">
      <c r="A1690" s="1" t="str">
        <f t="shared" si="35"/>
        <v>Z743CACC35</v>
      </c>
      <c r="B1690" s="1" t="str">
        <f t="shared" si="34"/>
        <v>02406911202</v>
      </c>
      <c r="C1690" s="1" t="s">
        <v>13</v>
      </c>
      <c r="D1690" s="1" t="s">
        <v>164</v>
      </c>
      <c r="E1690" s="1" t="s">
        <v>1801</v>
      </c>
      <c r="F1690" s="1" t="s">
        <v>39</v>
      </c>
      <c r="G1690" s="1" t="str">
        <f>"02491851206"</f>
        <v>02491851206</v>
      </c>
      <c r="I1690" s="1" t="s">
        <v>639</v>
      </c>
      <c r="L1690" s="1" t="s">
        <v>100</v>
      </c>
      <c r="AJ1690" s="2">
        <v>45201</v>
      </c>
    </row>
    <row r="1691" spans="1:36">
      <c r="A1691" s="1" t="str">
        <f t="shared" si="35"/>
        <v>Z743CACC35</v>
      </c>
      <c r="B1691" s="1" t="str">
        <f t="shared" si="34"/>
        <v>02406911202</v>
      </c>
      <c r="C1691" s="1" t="s">
        <v>13</v>
      </c>
      <c r="D1691" s="1" t="s">
        <v>164</v>
      </c>
      <c r="E1691" s="1" t="s">
        <v>1801</v>
      </c>
      <c r="F1691" s="1" t="s">
        <v>39</v>
      </c>
      <c r="G1691" s="1" t="str">
        <f>"01813500541"</f>
        <v>01813500541</v>
      </c>
      <c r="I1691" s="1" t="s">
        <v>1805</v>
      </c>
      <c r="L1691" s="1" t="s">
        <v>100</v>
      </c>
      <c r="AJ1691" s="2">
        <v>45201</v>
      </c>
    </row>
    <row r="1692" spans="1:36">
      <c r="A1692" s="1" t="str">
        <f t="shared" si="35"/>
        <v>Z743CACC35</v>
      </c>
      <c r="B1692" s="1" t="str">
        <f t="shared" si="34"/>
        <v>02406911202</v>
      </c>
      <c r="C1692" s="1" t="s">
        <v>13</v>
      </c>
      <c r="D1692" s="1" t="s">
        <v>164</v>
      </c>
      <c r="E1692" s="1" t="s">
        <v>1801</v>
      </c>
      <c r="F1692" s="1" t="s">
        <v>39</v>
      </c>
      <c r="G1692" s="1" t="str">
        <f>"06736060630"</f>
        <v>06736060630</v>
      </c>
      <c r="I1692" s="1" t="s">
        <v>1806</v>
      </c>
      <c r="L1692" s="1" t="s">
        <v>100</v>
      </c>
      <c r="AJ1692" s="2">
        <v>45201</v>
      </c>
    </row>
    <row r="1693" spans="1:36">
      <c r="A1693" s="1" t="str">
        <f t="shared" si="35"/>
        <v>Z743CACC35</v>
      </c>
      <c r="B1693" s="1" t="str">
        <f t="shared" si="34"/>
        <v>02406911202</v>
      </c>
      <c r="C1693" s="1" t="s">
        <v>13</v>
      </c>
      <c r="D1693" s="1" t="s">
        <v>164</v>
      </c>
      <c r="E1693" s="1" t="s">
        <v>1801</v>
      </c>
      <c r="F1693" s="1" t="s">
        <v>39</v>
      </c>
      <c r="G1693" s="1" t="str">
        <f>"02602810398"</f>
        <v>02602810398</v>
      </c>
      <c r="I1693" s="1" t="s">
        <v>1773</v>
      </c>
      <c r="L1693" s="1" t="s">
        <v>100</v>
      </c>
      <c r="AJ1693" s="2">
        <v>45201</v>
      </c>
    </row>
    <row r="1694" spans="1:36">
      <c r="A1694" s="1" t="str">
        <f t="shared" si="35"/>
        <v>Z743CACC35</v>
      </c>
      <c r="B1694" s="1" t="str">
        <f t="shared" si="34"/>
        <v>02406911202</v>
      </c>
      <c r="C1694" s="1" t="s">
        <v>13</v>
      </c>
      <c r="D1694" s="1" t="s">
        <v>164</v>
      </c>
      <c r="E1694" s="1" t="s">
        <v>1801</v>
      </c>
      <c r="F1694" s="1" t="s">
        <v>39</v>
      </c>
      <c r="G1694" s="1" t="str">
        <f>"02316361209"</f>
        <v>02316361209</v>
      </c>
      <c r="I1694" s="1" t="s">
        <v>670</v>
      </c>
      <c r="L1694" s="1" t="s">
        <v>100</v>
      </c>
      <c r="AJ1694" s="2">
        <v>45201</v>
      </c>
    </row>
    <row r="1695" spans="1:36">
      <c r="A1695" s="1" t="str">
        <f t="shared" si="35"/>
        <v>Z743CACC35</v>
      </c>
      <c r="B1695" s="1" t="str">
        <f t="shared" si="34"/>
        <v>02406911202</v>
      </c>
      <c r="C1695" s="1" t="s">
        <v>13</v>
      </c>
      <c r="D1695" s="1" t="s">
        <v>164</v>
      </c>
      <c r="E1695" s="1" t="s">
        <v>1801</v>
      </c>
      <c r="F1695" s="1" t="s">
        <v>39</v>
      </c>
      <c r="G1695" s="1" t="str">
        <f>"00740430335"</f>
        <v>00740430335</v>
      </c>
      <c r="I1695" s="1" t="s">
        <v>1514</v>
      </c>
      <c r="L1695" s="1" t="s">
        <v>100</v>
      </c>
      <c r="AJ1695" s="2">
        <v>45201</v>
      </c>
    </row>
    <row r="1696" spans="1:36">
      <c r="A1696" s="1" t="str">
        <f t="shared" si="35"/>
        <v>Z743CACC35</v>
      </c>
      <c r="B1696" s="1" t="str">
        <f t="shared" si="34"/>
        <v>02406911202</v>
      </c>
      <c r="C1696" s="1" t="s">
        <v>13</v>
      </c>
      <c r="D1696" s="1" t="s">
        <v>164</v>
      </c>
      <c r="E1696" s="1" t="s">
        <v>1801</v>
      </c>
      <c r="F1696" s="1" t="s">
        <v>39</v>
      </c>
      <c r="G1696" s="1" t="str">
        <f>"02169281207"</f>
        <v>02169281207</v>
      </c>
      <c r="I1696" s="1" t="s">
        <v>464</v>
      </c>
      <c r="L1696" s="1" t="s">
        <v>100</v>
      </c>
      <c r="AJ1696" s="2">
        <v>45201</v>
      </c>
    </row>
    <row r="1697" spans="1:36">
      <c r="A1697" s="1" t="str">
        <f>"Z743D03E6F"</f>
        <v>Z743D03E6F</v>
      </c>
      <c r="B1697" s="1" t="str">
        <f t="shared" si="34"/>
        <v>02406911202</v>
      </c>
      <c r="C1697" s="1" t="s">
        <v>13</v>
      </c>
      <c r="D1697" s="1" t="s">
        <v>180</v>
      </c>
      <c r="E1697" s="1" t="s">
        <v>281</v>
      </c>
      <c r="F1697" s="1" t="s">
        <v>158</v>
      </c>
      <c r="G1697" s="1" t="str">
        <f>"12572900152"</f>
        <v>12572900152</v>
      </c>
      <c r="I1697" s="1" t="s">
        <v>335</v>
      </c>
      <c r="L1697" s="1" t="s">
        <v>43</v>
      </c>
      <c r="M1697" s="1">
        <v>6000</v>
      </c>
      <c r="AG1697" s="1">
        <v>0</v>
      </c>
      <c r="AH1697" s="2">
        <v>45225</v>
      </c>
      <c r="AI1697" s="2">
        <v>45291</v>
      </c>
      <c r="AJ1697" s="2">
        <v>45225</v>
      </c>
    </row>
    <row r="1698" spans="1:36">
      <c r="A1698" s="1" t="str">
        <f>"Z743DF1D98"</f>
        <v>Z743DF1D98</v>
      </c>
      <c r="B1698" s="1" t="str">
        <f t="shared" si="34"/>
        <v>02406911202</v>
      </c>
      <c r="C1698" s="1" t="s">
        <v>13</v>
      </c>
      <c r="D1698" s="1" t="s">
        <v>177</v>
      </c>
      <c r="E1698" s="1" t="s">
        <v>1807</v>
      </c>
      <c r="F1698" s="1" t="s">
        <v>158</v>
      </c>
      <c r="G1698" s="1" t="str">
        <f>"03337831204"</f>
        <v>03337831204</v>
      </c>
      <c r="I1698" s="1" t="s">
        <v>1691</v>
      </c>
      <c r="L1698" s="1" t="s">
        <v>43</v>
      </c>
      <c r="M1698" s="1">
        <v>4500</v>
      </c>
      <c r="AG1698" s="1">
        <v>0</v>
      </c>
      <c r="AH1698" s="2">
        <v>45282</v>
      </c>
      <c r="AI1698" s="2">
        <v>45291</v>
      </c>
      <c r="AJ1698" s="2">
        <v>45282</v>
      </c>
    </row>
    <row r="1699" spans="1:36">
      <c r="A1699" s="1" t="str">
        <f>"Z753D0FDE5"</f>
        <v>Z753D0FDE5</v>
      </c>
      <c r="B1699" s="1" t="str">
        <f t="shared" si="34"/>
        <v>02406911202</v>
      </c>
      <c r="C1699" s="1" t="s">
        <v>13</v>
      </c>
      <c r="D1699" s="1" t="s">
        <v>264</v>
      </c>
      <c r="E1699" s="1" t="s">
        <v>1808</v>
      </c>
      <c r="F1699" s="1" t="s">
        <v>158</v>
      </c>
      <c r="G1699" s="1" t="str">
        <f>"00856750153"</f>
        <v>00856750153</v>
      </c>
      <c r="I1699" s="1" t="s">
        <v>299</v>
      </c>
      <c r="L1699" s="1" t="s">
        <v>43</v>
      </c>
      <c r="M1699" s="1">
        <v>20000</v>
      </c>
      <c r="AG1699" s="1">
        <v>2105</v>
      </c>
      <c r="AH1699" s="2">
        <v>45229</v>
      </c>
      <c r="AI1699" s="2">
        <v>45657</v>
      </c>
      <c r="AJ1699" s="2">
        <v>45229</v>
      </c>
    </row>
    <row r="1700" spans="1:36">
      <c r="A1700" s="1" t="str">
        <f>"Z763B5A59E"</f>
        <v>Z763B5A59E</v>
      </c>
      <c r="B1700" s="1" t="str">
        <f t="shared" si="34"/>
        <v>02406911202</v>
      </c>
      <c r="C1700" s="1" t="s">
        <v>13</v>
      </c>
      <c r="D1700" s="1" t="s">
        <v>167</v>
      </c>
      <c r="E1700" s="1" t="s">
        <v>1809</v>
      </c>
      <c r="F1700" s="1" t="s">
        <v>158</v>
      </c>
      <c r="G1700" s="1" t="str">
        <f>"01754111209"</f>
        <v>01754111209</v>
      </c>
      <c r="I1700" s="1" t="s">
        <v>1810</v>
      </c>
      <c r="L1700" s="1" t="s">
        <v>43</v>
      </c>
      <c r="M1700" s="1">
        <v>21568.18</v>
      </c>
      <c r="AG1700" s="1">
        <v>0</v>
      </c>
      <c r="AH1700" s="2">
        <v>45200</v>
      </c>
      <c r="AI1700" s="2">
        <v>45565</v>
      </c>
      <c r="AJ1700" s="2">
        <v>45200</v>
      </c>
    </row>
    <row r="1701" spans="1:36">
      <c r="A1701" s="1" t="str">
        <f>"Z773D539DA"</f>
        <v>Z773D539DA</v>
      </c>
      <c r="B1701" s="1" t="str">
        <f t="shared" si="34"/>
        <v>02406911202</v>
      </c>
      <c r="C1701" s="1" t="s">
        <v>13</v>
      </c>
      <c r="D1701" s="1" t="s">
        <v>186</v>
      </c>
      <c r="E1701" s="1" t="s">
        <v>1811</v>
      </c>
      <c r="F1701" s="1" t="s">
        <v>158</v>
      </c>
      <c r="G1701" s="1" t="str">
        <f>"04270270400"</f>
        <v>04270270400</v>
      </c>
      <c r="I1701" s="1" t="s">
        <v>808</v>
      </c>
      <c r="L1701" s="1" t="s">
        <v>43</v>
      </c>
      <c r="M1701" s="1">
        <v>1160</v>
      </c>
      <c r="AG1701" s="1">
        <v>0</v>
      </c>
      <c r="AH1701" s="2">
        <v>45247</v>
      </c>
      <c r="AI1701" s="2">
        <v>45291</v>
      </c>
      <c r="AJ1701" s="2">
        <v>45247</v>
      </c>
    </row>
    <row r="1702" spans="1:36">
      <c r="A1702" s="1" t="str">
        <f>"Z773D7CAC4"</f>
        <v>Z773D7CAC4</v>
      </c>
      <c r="B1702" s="1" t="str">
        <f t="shared" si="34"/>
        <v>02406911202</v>
      </c>
      <c r="C1702" s="1" t="s">
        <v>13</v>
      </c>
      <c r="D1702" s="1" t="s">
        <v>186</v>
      </c>
      <c r="E1702" s="1" t="s">
        <v>1812</v>
      </c>
      <c r="F1702" s="1" t="s">
        <v>158</v>
      </c>
      <c r="G1702" s="1" t="str">
        <f>"02125550349"</f>
        <v>02125550349</v>
      </c>
      <c r="I1702" s="1" t="s">
        <v>308</v>
      </c>
      <c r="L1702" s="1" t="s">
        <v>43</v>
      </c>
      <c r="M1702" s="1">
        <v>4999</v>
      </c>
      <c r="AG1702" s="1">
        <v>0</v>
      </c>
      <c r="AH1702" s="2">
        <v>45258</v>
      </c>
      <c r="AI1702" s="2">
        <v>46022</v>
      </c>
      <c r="AJ1702" s="2">
        <v>45258</v>
      </c>
    </row>
    <row r="1703" spans="1:36">
      <c r="A1703" s="1" t="str">
        <f>"Z783CCB880"</f>
        <v>Z783CCB880</v>
      </c>
      <c r="B1703" s="1" t="str">
        <f t="shared" si="34"/>
        <v>02406911202</v>
      </c>
      <c r="C1703" s="1" t="s">
        <v>13</v>
      </c>
      <c r="D1703" s="1" t="s">
        <v>180</v>
      </c>
      <c r="E1703" s="1" t="s">
        <v>281</v>
      </c>
      <c r="F1703" s="1" t="s">
        <v>158</v>
      </c>
      <c r="G1703" s="1" t="str">
        <f>"09270550016"</f>
        <v>09270550016</v>
      </c>
      <c r="I1703" s="1" t="s">
        <v>406</v>
      </c>
      <c r="L1703" s="1" t="s">
        <v>43</v>
      </c>
      <c r="M1703" s="1">
        <v>6000</v>
      </c>
      <c r="AG1703" s="1">
        <v>6942.66</v>
      </c>
      <c r="AH1703" s="2">
        <v>45210</v>
      </c>
      <c r="AI1703" s="2">
        <v>45291</v>
      </c>
      <c r="AJ1703" s="2">
        <v>45210</v>
      </c>
    </row>
    <row r="1704" spans="1:36">
      <c r="A1704" s="1" t="str">
        <f>"Z783D66334"</f>
        <v>Z783D66334</v>
      </c>
      <c r="B1704" s="1" t="str">
        <f t="shared" si="34"/>
        <v>02406911202</v>
      </c>
      <c r="C1704" s="1" t="s">
        <v>13</v>
      </c>
      <c r="D1704" s="1" t="s">
        <v>186</v>
      </c>
      <c r="E1704" s="1" t="s">
        <v>1813</v>
      </c>
      <c r="F1704" s="1" t="s">
        <v>158</v>
      </c>
      <c r="G1704" s="1" t="str">
        <f>"04051160234"</f>
        <v>04051160234</v>
      </c>
      <c r="I1704" s="1" t="s">
        <v>1413</v>
      </c>
      <c r="L1704" s="1" t="s">
        <v>43</v>
      </c>
      <c r="M1704" s="1">
        <v>2000</v>
      </c>
      <c r="AG1704" s="1">
        <v>0</v>
      </c>
      <c r="AH1704" s="2">
        <v>45252</v>
      </c>
      <c r="AI1704" s="2">
        <v>45351</v>
      </c>
      <c r="AJ1704" s="2">
        <v>45252</v>
      </c>
    </row>
    <row r="1705" spans="1:36">
      <c r="A1705" s="1" t="str">
        <f>"Z783D74C8E"</f>
        <v>Z783D74C8E</v>
      </c>
      <c r="B1705" s="1" t="str">
        <f t="shared" si="34"/>
        <v>02406911202</v>
      </c>
      <c r="C1705" s="1" t="s">
        <v>13</v>
      </c>
      <c r="D1705" s="1" t="s">
        <v>180</v>
      </c>
      <c r="E1705" s="1" t="s">
        <v>220</v>
      </c>
      <c r="F1705" s="1" t="s">
        <v>158</v>
      </c>
      <c r="G1705" s="1" t="str">
        <f>"03830250712"</f>
        <v>03830250712</v>
      </c>
      <c r="I1705" s="1" t="s">
        <v>706</v>
      </c>
      <c r="L1705" s="1" t="s">
        <v>43</v>
      </c>
      <c r="M1705" s="1">
        <v>6000</v>
      </c>
      <c r="AG1705" s="1">
        <v>0</v>
      </c>
      <c r="AH1705" s="2">
        <v>45258</v>
      </c>
      <c r="AI1705" s="2">
        <v>45657</v>
      </c>
      <c r="AJ1705" s="2">
        <v>45258</v>
      </c>
    </row>
    <row r="1706" spans="1:36">
      <c r="A1706" s="1" t="str">
        <f>"Z783D836E3"</f>
        <v>Z783D836E3</v>
      </c>
      <c r="B1706" s="1" t="str">
        <f t="shared" si="34"/>
        <v>02406911202</v>
      </c>
      <c r="C1706" s="1" t="s">
        <v>13</v>
      </c>
      <c r="D1706" s="1" t="s">
        <v>180</v>
      </c>
      <c r="E1706" s="1" t="s">
        <v>279</v>
      </c>
      <c r="F1706" s="1" t="s">
        <v>158</v>
      </c>
      <c r="G1706" s="1" t="str">
        <f>"03597020373"</f>
        <v>03597020373</v>
      </c>
      <c r="I1706" s="1" t="s">
        <v>254</v>
      </c>
      <c r="L1706" s="1" t="s">
        <v>43</v>
      </c>
      <c r="M1706" s="1">
        <v>6000</v>
      </c>
      <c r="AG1706" s="1">
        <v>0</v>
      </c>
      <c r="AH1706" s="2">
        <v>45259</v>
      </c>
      <c r="AI1706" s="2">
        <v>45291</v>
      </c>
      <c r="AJ1706" s="2">
        <v>45259</v>
      </c>
    </row>
    <row r="1707" spans="1:36">
      <c r="A1707" s="1" t="str">
        <f>"Z783DA126A"</f>
        <v>Z783DA126A</v>
      </c>
      <c r="B1707" s="1" t="str">
        <f t="shared" si="34"/>
        <v>02406911202</v>
      </c>
      <c r="C1707" s="1" t="s">
        <v>13</v>
      </c>
      <c r="D1707" s="1" t="s">
        <v>167</v>
      </c>
      <c r="E1707" s="1" t="s">
        <v>1814</v>
      </c>
      <c r="F1707" s="1" t="s">
        <v>51</v>
      </c>
      <c r="G1707" s="1" t="str">
        <f>"06736060630"</f>
        <v>06736060630</v>
      </c>
      <c r="I1707" s="1" t="s">
        <v>1806</v>
      </c>
      <c r="L1707" s="1" t="s">
        <v>43</v>
      </c>
      <c r="M1707" s="1">
        <v>17490</v>
      </c>
      <c r="AG1707" s="1">
        <v>0</v>
      </c>
      <c r="AH1707" s="2">
        <v>45271</v>
      </c>
      <c r="AI1707" s="2">
        <v>45322</v>
      </c>
      <c r="AJ1707" s="2">
        <v>45271</v>
      </c>
    </row>
    <row r="1708" spans="1:36">
      <c r="A1708" s="1" t="str">
        <f>"Z783DB22FC"</f>
        <v>Z783DB22FC</v>
      </c>
      <c r="B1708" s="1" t="str">
        <f t="shared" si="34"/>
        <v>02406911202</v>
      </c>
      <c r="C1708" s="1" t="s">
        <v>13</v>
      </c>
      <c r="D1708" s="1" t="s">
        <v>167</v>
      </c>
      <c r="E1708" s="1" t="s">
        <v>1815</v>
      </c>
      <c r="F1708" s="1" t="s">
        <v>158</v>
      </c>
      <c r="G1708" s="1" t="str">
        <f>"04705810150"</f>
        <v>04705810150</v>
      </c>
      <c r="I1708" s="1" t="s">
        <v>1627</v>
      </c>
      <c r="L1708" s="1" t="s">
        <v>43</v>
      </c>
      <c r="M1708" s="1">
        <v>1600</v>
      </c>
      <c r="AG1708" s="1">
        <v>0</v>
      </c>
      <c r="AH1708" s="2">
        <v>45280</v>
      </c>
      <c r="AI1708" s="2">
        <v>45291</v>
      </c>
      <c r="AJ1708" s="2">
        <v>45280</v>
      </c>
    </row>
    <row r="1709" spans="1:36">
      <c r="A1709" s="1" t="str">
        <f>"Z783DBD182"</f>
        <v>Z783DBD182</v>
      </c>
      <c r="B1709" s="1" t="str">
        <f t="shared" si="34"/>
        <v>02406911202</v>
      </c>
      <c r="C1709" s="1" t="s">
        <v>13</v>
      </c>
      <c r="D1709" s="1" t="s">
        <v>180</v>
      </c>
      <c r="E1709" s="1" t="s">
        <v>281</v>
      </c>
      <c r="F1709" s="1" t="s">
        <v>158</v>
      </c>
      <c r="G1709" s="1" t="str">
        <f>"00514240142"</f>
        <v>00514240142</v>
      </c>
      <c r="I1709" s="1" t="s">
        <v>492</v>
      </c>
      <c r="L1709" s="1" t="s">
        <v>43</v>
      </c>
      <c r="M1709" s="1">
        <v>6000</v>
      </c>
      <c r="AG1709" s="1">
        <v>0</v>
      </c>
      <c r="AH1709" s="2">
        <v>45289</v>
      </c>
      <c r="AI1709" s="2">
        <v>45322</v>
      </c>
      <c r="AJ1709" s="2">
        <v>45289</v>
      </c>
    </row>
    <row r="1710" spans="1:36">
      <c r="A1710" s="1" t="str">
        <f>"Z793BEF3FC"</f>
        <v>Z793BEF3FC</v>
      </c>
      <c r="B1710" s="1" t="str">
        <f t="shared" si="34"/>
        <v>02406911202</v>
      </c>
      <c r="C1710" s="1" t="s">
        <v>13</v>
      </c>
      <c r="D1710" s="1" t="s">
        <v>167</v>
      </c>
      <c r="E1710" s="1" t="s">
        <v>1816</v>
      </c>
      <c r="F1710" s="1" t="s">
        <v>151</v>
      </c>
      <c r="G1710" s="1" t="str">
        <f>"02079181208"</f>
        <v>02079181208</v>
      </c>
      <c r="I1710" s="1" t="s">
        <v>71</v>
      </c>
      <c r="L1710" s="1" t="s">
        <v>43</v>
      </c>
      <c r="M1710" s="1">
        <v>9580</v>
      </c>
      <c r="AG1710" s="1">
        <v>0</v>
      </c>
      <c r="AH1710" s="2">
        <v>45132</v>
      </c>
      <c r="AI1710" s="2">
        <v>45862</v>
      </c>
      <c r="AJ1710" s="2">
        <v>45132</v>
      </c>
    </row>
    <row r="1711" spans="1:36">
      <c r="A1711" s="1" t="str">
        <f>"Z793CDB5BB"</f>
        <v>Z793CDB5BB</v>
      </c>
      <c r="B1711" s="1" t="str">
        <f t="shared" si="34"/>
        <v>02406911202</v>
      </c>
      <c r="C1711" s="1" t="s">
        <v>13</v>
      </c>
      <c r="D1711" s="1" t="s">
        <v>186</v>
      </c>
      <c r="E1711" s="1" t="s">
        <v>1817</v>
      </c>
      <c r="F1711" s="1" t="s">
        <v>158</v>
      </c>
      <c r="G1711" s="1" t="str">
        <f>"91177510400"</f>
        <v>91177510400</v>
      </c>
      <c r="I1711" s="1" t="s">
        <v>1818</v>
      </c>
      <c r="L1711" s="1" t="s">
        <v>43</v>
      </c>
      <c r="M1711" s="1">
        <v>160</v>
      </c>
      <c r="AG1711" s="1">
        <v>0</v>
      </c>
      <c r="AH1711" s="2">
        <v>45215</v>
      </c>
      <c r="AI1711" s="2">
        <v>45291</v>
      </c>
      <c r="AJ1711" s="2">
        <v>45215</v>
      </c>
    </row>
    <row r="1712" spans="1:36">
      <c r="A1712" s="1" t="str">
        <f>"Z793D10ABD"</f>
        <v>Z793D10ABD</v>
      </c>
      <c r="B1712" s="1" t="str">
        <f t="shared" si="34"/>
        <v>02406911202</v>
      </c>
      <c r="C1712" s="1" t="s">
        <v>13</v>
      </c>
      <c r="D1712" s="1" t="s">
        <v>180</v>
      </c>
      <c r="E1712" s="1" t="s">
        <v>281</v>
      </c>
      <c r="F1712" s="1" t="s">
        <v>158</v>
      </c>
      <c r="G1712" s="1" t="str">
        <f>"04289840268"</f>
        <v>04289840268</v>
      </c>
      <c r="I1712" s="1" t="s">
        <v>302</v>
      </c>
      <c r="L1712" s="1" t="s">
        <v>43</v>
      </c>
      <c r="M1712" s="1">
        <v>6000</v>
      </c>
      <c r="AG1712" s="1">
        <v>3672.18</v>
      </c>
      <c r="AH1712" s="2">
        <v>45229</v>
      </c>
      <c r="AI1712" s="2">
        <v>45291</v>
      </c>
      <c r="AJ1712" s="2">
        <v>45229</v>
      </c>
    </row>
    <row r="1713" spans="1:36">
      <c r="A1713" s="1" t="str">
        <f>"Z793D396C0"</f>
        <v>Z793D396C0</v>
      </c>
      <c r="B1713" s="1" t="str">
        <f t="shared" si="34"/>
        <v>02406911202</v>
      </c>
      <c r="C1713" s="1" t="s">
        <v>13</v>
      </c>
      <c r="D1713" s="1" t="s">
        <v>180</v>
      </c>
      <c r="E1713" s="1" t="s">
        <v>279</v>
      </c>
      <c r="F1713" s="1" t="s">
        <v>158</v>
      </c>
      <c r="G1713" s="1" t="str">
        <f>"05848611009"</f>
        <v>05848611009</v>
      </c>
      <c r="I1713" s="1" t="s">
        <v>1509</v>
      </c>
      <c r="L1713" s="1" t="s">
        <v>43</v>
      </c>
      <c r="M1713" s="1">
        <v>5000</v>
      </c>
      <c r="AG1713" s="1">
        <v>0</v>
      </c>
      <c r="AH1713" s="2">
        <v>45240</v>
      </c>
      <c r="AI1713" s="2">
        <v>45291</v>
      </c>
      <c r="AJ1713" s="2">
        <v>45240</v>
      </c>
    </row>
    <row r="1714" spans="1:36">
      <c r="A1714" s="1" t="str">
        <f>"Z793D87CC5"</f>
        <v>Z793D87CC5</v>
      </c>
      <c r="B1714" s="1" t="str">
        <f t="shared" si="34"/>
        <v>02406911202</v>
      </c>
      <c r="C1714" s="1" t="s">
        <v>13</v>
      </c>
      <c r="D1714" s="1" t="s">
        <v>186</v>
      </c>
      <c r="E1714" s="1" t="s">
        <v>1819</v>
      </c>
      <c r="F1714" s="1" t="s">
        <v>158</v>
      </c>
      <c r="G1714" s="1" t="str">
        <f>"01410030090"</f>
        <v>01410030090</v>
      </c>
      <c r="I1714" s="1" t="s">
        <v>1820</v>
      </c>
      <c r="L1714" s="1" t="s">
        <v>43</v>
      </c>
      <c r="M1714" s="1">
        <v>4999</v>
      </c>
      <c r="AG1714" s="1">
        <v>0</v>
      </c>
      <c r="AH1714" s="2">
        <v>45260</v>
      </c>
      <c r="AI1714" s="2">
        <v>45657</v>
      </c>
      <c r="AJ1714" s="2">
        <v>45260</v>
      </c>
    </row>
    <row r="1715" spans="1:36">
      <c r="A1715" s="1" t="str">
        <f>"Z793D87CC5"</f>
        <v>Z793D87CC5</v>
      </c>
      <c r="B1715" s="1" t="str">
        <f t="shared" si="34"/>
        <v>02406911202</v>
      </c>
      <c r="C1715" s="1" t="s">
        <v>13</v>
      </c>
      <c r="D1715" s="1" t="s">
        <v>186</v>
      </c>
      <c r="E1715" s="1" t="s">
        <v>1819</v>
      </c>
      <c r="F1715" s="1" t="s">
        <v>158</v>
      </c>
      <c r="G1715" s="1" t="str">
        <f>"02373581202"</f>
        <v>02373581202</v>
      </c>
      <c r="I1715" s="1" t="s">
        <v>783</v>
      </c>
      <c r="L1715" s="1" t="s">
        <v>100</v>
      </c>
      <c r="AJ1715" s="2">
        <v>45260</v>
      </c>
    </row>
    <row r="1716" spans="1:36">
      <c r="A1716" s="1" t="str">
        <f>"Z793D974D4"</f>
        <v>Z793D974D4</v>
      </c>
      <c r="B1716" s="1" t="str">
        <f t="shared" si="34"/>
        <v>02406911202</v>
      </c>
      <c r="C1716" s="1" t="s">
        <v>13</v>
      </c>
      <c r="D1716" s="1" t="s">
        <v>264</v>
      </c>
      <c r="E1716" s="1" t="s">
        <v>1821</v>
      </c>
      <c r="F1716" s="1" t="s">
        <v>158</v>
      </c>
      <c r="G1716" s="1" t="str">
        <f>"00934960352"</f>
        <v>00934960352</v>
      </c>
      <c r="I1716" s="1" t="s">
        <v>1822</v>
      </c>
      <c r="L1716" s="1" t="s">
        <v>43</v>
      </c>
      <c r="M1716" s="1">
        <v>250</v>
      </c>
      <c r="AG1716" s="1">
        <v>0</v>
      </c>
      <c r="AH1716" s="2">
        <v>45264</v>
      </c>
      <c r="AI1716" s="2">
        <v>45291</v>
      </c>
      <c r="AJ1716" s="2">
        <v>45264</v>
      </c>
    </row>
    <row r="1717" spans="1:36">
      <c r="A1717" s="1" t="str">
        <f>"Z7A3CADF79"</f>
        <v>Z7A3CADF79</v>
      </c>
      <c r="B1717" s="1" t="str">
        <f t="shared" si="34"/>
        <v>02406911202</v>
      </c>
      <c r="C1717" s="1" t="s">
        <v>13</v>
      </c>
      <c r="D1717" s="1" t="s">
        <v>180</v>
      </c>
      <c r="E1717" s="1" t="s">
        <v>296</v>
      </c>
      <c r="F1717" s="1" t="s">
        <v>158</v>
      </c>
      <c r="G1717" s="1" t="str">
        <f>"01835220482"</f>
        <v>01835220482</v>
      </c>
      <c r="I1717" s="1" t="s">
        <v>531</v>
      </c>
      <c r="L1717" s="1" t="s">
        <v>43</v>
      </c>
      <c r="M1717" s="1">
        <v>5000</v>
      </c>
      <c r="AG1717" s="1">
        <v>2040</v>
      </c>
      <c r="AH1717" s="2">
        <v>45202</v>
      </c>
      <c r="AI1717" s="2">
        <v>45291</v>
      </c>
      <c r="AJ1717" s="2">
        <v>45202</v>
      </c>
    </row>
    <row r="1718" spans="1:36">
      <c r="A1718" s="1" t="str">
        <f>"Z7A3D19737"</f>
        <v>Z7A3D19737</v>
      </c>
      <c r="B1718" s="1" t="str">
        <f t="shared" si="34"/>
        <v>02406911202</v>
      </c>
      <c r="C1718" s="1" t="s">
        <v>13</v>
      </c>
      <c r="D1718" s="1" t="s">
        <v>180</v>
      </c>
      <c r="E1718" s="1" t="s">
        <v>279</v>
      </c>
      <c r="F1718" s="1" t="s">
        <v>158</v>
      </c>
      <c r="G1718" s="1" t="str">
        <f>"02829240155"</f>
        <v>02829240155</v>
      </c>
      <c r="I1718" s="1" t="s">
        <v>1823</v>
      </c>
      <c r="L1718" s="1" t="s">
        <v>43</v>
      </c>
      <c r="M1718" s="1">
        <v>6000</v>
      </c>
      <c r="AG1718" s="1">
        <v>0</v>
      </c>
      <c r="AH1718" s="2">
        <v>45232</v>
      </c>
      <c r="AI1718" s="2">
        <v>45291</v>
      </c>
      <c r="AJ1718" s="2">
        <v>45232</v>
      </c>
    </row>
    <row r="1719" spans="1:36">
      <c r="A1719" s="1" t="str">
        <f>"Z7A3D97323"</f>
        <v>Z7A3D97323</v>
      </c>
      <c r="B1719" s="1" t="str">
        <f t="shared" si="34"/>
        <v>02406911202</v>
      </c>
      <c r="C1719" s="1" t="s">
        <v>13</v>
      </c>
      <c r="D1719" s="1" t="s">
        <v>167</v>
      </c>
      <c r="E1719" s="1" t="s">
        <v>1824</v>
      </c>
      <c r="F1719" s="1" t="s">
        <v>158</v>
      </c>
      <c r="G1719" s="1" t="str">
        <f>"00399810589"</f>
        <v>00399810589</v>
      </c>
      <c r="I1719" s="1" t="s">
        <v>1522</v>
      </c>
      <c r="L1719" s="1" t="s">
        <v>43</v>
      </c>
      <c r="M1719" s="1">
        <v>901.16</v>
      </c>
      <c r="AG1719" s="1">
        <v>0</v>
      </c>
      <c r="AH1719" s="2">
        <v>45261</v>
      </c>
      <c r="AI1719" s="2">
        <v>45291</v>
      </c>
      <c r="AJ1719" s="2">
        <v>45261</v>
      </c>
    </row>
    <row r="1720" spans="1:36">
      <c r="A1720" s="1" t="str">
        <f>"Z7B3D46530"</f>
        <v>Z7B3D46530</v>
      </c>
      <c r="B1720" s="1" t="str">
        <f t="shared" si="34"/>
        <v>02406911202</v>
      </c>
      <c r="C1720" s="1" t="s">
        <v>13</v>
      </c>
      <c r="D1720" s="1" t="s">
        <v>186</v>
      </c>
      <c r="E1720" s="1" t="s">
        <v>1825</v>
      </c>
      <c r="F1720" s="1" t="s">
        <v>158</v>
      </c>
      <c r="G1720" s="1" t="str">
        <f>"04095621209"</f>
        <v>04095621209</v>
      </c>
      <c r="I1720" s="1" t="s">
        <v>1826</v>
      </c>
      <c r="L1720" s="1" t="s">
        <v>43</v>
      </c>
      <c r="M1720" s="1">
        <v>4999</v>
      </c>
      <c r="AG1720" s="1">
        <v>0</v>
      </c>
      <c r="AH1720" s="2">
        <v>45244</v>
      </c>
      <c r="AI1720" s="2">
        <v>45610</v>
      </c>
      <c r="AJ1720" s="2">
        <v>45244</v>
      </c>
    </row>
    <row r="1721" spans="1:36">
      <c r="A1721" s="1" t="str">
        <f>"Z7B3DA8BD2"</f>
        <v>Z7B3DA8BD2</v>
      </c>
      <c r="B1721" s="1" t="str">
        <f t="shared" si="34"/>
        <v>02406911202</v>
      </c>
      <c r="C1721" s="1" t="s">
        <v>13</v>
      </c>
      <c r="D1721" s="1" t="s">
        <v>180</v>
      </c>
      <c r="E1721" s="1" t="s">
        <v>296</v>
      </c>
      <c r="F1721" s="1" t="s">
        <v>158</v>
      </c>
      <c r="G1721" s="1" t="str">
        <f>"06324460150"</f>
        <v>06324460150</v>
      </c>
      <c r="I1721" s="1" t="s">
        <v>451</v>
      </c>
      <c r="L1721" s="1" t="s">
        <v>43</v>
      </c>
      <c r="M1721" s="1">
        <v>5000</v>
      </c>
      <c r="AG1721" s="1">
        <v>0</v>
      </c>
      <c r="AH1721" s="2">
        <v>45267</v>
      </c>
      <c r="AI1721" s="2">
        <v>45657</v>
      </c>
      <c r="AJ1721" s="2">
        <v>45267</v>
      </c>
    </row>
    <row r="1722" spans="1:36">
      <c r="A1722" s="1" t="str">
        <f>"Z7C3CC8A84"</f>
        <v>Z7C3CC8A84</v>
      </c>
      <c r="B1722" s="1" t="str">
        <f t="shared" si="34"/>
        <v>02406911202</v>
      </c>
      <c r="C1722" s="1" t="s">
        <v>13</v>
      </c>
      <c r="D1722" s="1" t="s">
        <v>180</v>
      </c>
      <c r="E1722" s="1" t="s">
        <v>181</v>
      </c>
      <c r="F1722" s="1" t="s">
        <v>158</v>
      </c>
      <c r="H1722" s="1" t="str">
        <f>"106883221"</f>
        <v>106883221</v>
      </c>
      <c r="I1722" s="1" t="s">
        <v>544</v>
      </c>
      <c r="L1722" s="1" t="s">
        <v>43</v>
      </c>
      <c r="M1722" s="1">
        <v>6000</v>
      </c>
      <c r="AG1722" s="1">
        <v>2546.13</v>
      </c>
      <c r="AH1722" s="2">
        <v>45209</v>
      </c>
      <c r="AI1722" s="2">
        <v>45291</v>
      </c>
      <c r="AJ1722" s="2">
        <v>45209</v>
      </c>
    </row>
    <row r="1723" spans="1:36">
      <c r="A1723" s="1" t="str">
        <f>"Z7C3CFE663"</f>
        <v>Z7C3CFE663</v>
      </c>
      <c r="B1723" s="1" t="str">
        <f t="shared" si="34"/>
        <v>02406911202</v>
      </c>
      <c r="C1723" s="1" t="s">
        <v>13</v>
      </c>
      <c r="D1723" s="1" t="s">
        <v>186</v>
      </c>
      <c r="E1723" s="1" t="s">
        <v>1827</v>
      </c>
      <c r="F1723" s="1" t="s">
        <v>158</v>
      </c>
      <c r="G1723" s="1" t="str">
        <f>"01067490050"</f>
        <v>01067490050</v>
      </c>
      <c r="I1723" s="1" t="s">
        <v>211</v>
      </c>
      <c r="L1723" s="1" t="s">
        <v>43</v>
      </c>
      <c r="M1723" s="1">
        <v>4999</v>
      </c>
      <c r="AG1723" s="1">
        <v>687.35</v>
      </c>
      <c r="AH1723" s="2">
        <v>45224</v>
      </c>
      <c r="AI1723" s="2">
        <v>46387</v>
      </c>
      <c r="AJ1723" s="2">
        <v>45224</v>
      </c>
    </row>
    <row r="1724" spans="1:36">
      <c r="A1724" s="1" t="str">
        <f>"Z7C3D2E80E"</f>
        <v>Z7C3D2E80E</v>
      </c>
      <c r="B1724" s="1" t="str">
        <f t="shared" si="34"/>
        <v>02406911202</v>
      </c>
      <c r="C1724" s="1" t="s">
        <v>13</v>
      </c>
      <c r="D1724" s="1" t="s">
        <v>177</v>
      </c>
      <c r="E1724" s="1" t="s">
        <v>1828</v>
      </c>
      <c r="F1724" s="1" t="s">
        <v>158</v>
      </c>
      <c r="G1724" s="1" t="str">
        <f>"03228620369"</f>
        <v>03228620369</v>
      </c>
      <c r="I1724" s="1" t="s">
        <v>1829</v>
      </c>
      <c r="L1724" s="1" t="s">
        <v>43</v>
      </c>
      <c r="M1724" s="1">
        <v>39000</v>
      </c>
      <c r="AG1724" s="1">
        <v>0</v>
      </c>
      <c r="AH1724" s="2">
        <v>45231</v>
      </c>
      <c r="AI1724" s="2">
        <v>45961</v>
      </c>
      <c r="AJ1724" s="2">
        <v>45231</v>
      </c>
    </row>
    <row r="1725" spans="1:36">
      <c r="A1725" s="1" t="str">
        <f>"Z7C3D31237"</f>
        <v>Z7C3D31237</v>
      </c>
      <c r="B1725" s="1" t="str">
        <f t="shared" si="34"/>
        <v>02406911202</v>
      </c>
      <c r="C1725" s="1" t="s">
        <v>13</v>
      </c>
      <c r="D1725" s="1" t="s">
        <v>264</v>
      </c>
      <c r="E1725" s="1" t="s">
        <v>1830</v>
      </c>
      <c r="F1725" s="1" t="s">
        <v>158</v>
      </c>
      <c r="G1725" s="1" t="str">
        <f>"82558090001"</f>
        <v>82558090001</v>
      </c>
      <c r="I1725" s="1" t="s">
        <v>467</v>
      </c>
      <c r="L1725" s="1" t="s">
        <v>43</v>
      </c>
      <c r="M1725" s="1">
        <v>12000</v>
      </c>
      <c r="AG1725" s="1">
        <v>0</v>
      </c>
      <c r="AH1725" s="2">
        <v>45239</v>
      </c>
      <c r="AI1725" s="2">
        <v>45291</v>
      </c>
      <c r="AJ1725" s="2">
        <v>45239</v>
      </c>
    </row>
    <row r="1726" spans="1:36">
      <c r="A1726" s="1" t="str">
        <f>"Z7C3D6DCE1"</f>
        <v>Z7C3D6DCE1</v>
      </c>
      <c r="B1726" s="1" t="str">
        <f t="shared" si="34"/>
        <v>02406911202</v>
      </c>
      <c r="C1726" s="1" t="s">
        <v>13</v>
      </c>
      <c r="D1726" s="1" t="s">
        <v>264</v>
      </c>
      <c r="E1726" s="1" t="s">
        <v>1831</v>
      </c>
      <c r="F1726" s="1" t="s">
        <v>158</v>
      </c>
      <c r="G1726" s="1" t="str">
        <f>"01769780675"</f>
        <v>01769780675</v>
      </c>
      <c r="I1726" s="1" t="s">
        <v>750</v>
      </c>
      <c r="L1726" s="1" t="s">
        <v>43</v>
      </c>
      <c r="M1726" s="1">
        <v>210</v>
      </c>
      <c r="AG1726" s="1">
        <v>0</v>
      </c>
      <c r="AH1726" s="2">
        <v>45253</v>
      </c>
      <c r="AI1726" s="2">
        <v>45260</v>
      </c>
      <c r="AJ1726" s="2">
        <v>45253</v>
      </c>
    </row>
    <row r="1727" spans="1:36">
      <c r="A1727" s="1" t="str">
        <f>"Z7C3D96FC1"</f>
        <v>Z7C3D96FC1</v>
      </c>
      <c r="B1727" s="1" t="str">
        <f t="shared" si="34"/>
        <v>02406911202</v>
      </c>
      <c r="C1727" s="1" t="s">
        <v>13</v>
      </c>
      <c r="D1727" s="1" t="s">
        <v>167</v>
      </c>
      <c r="E1727" s="1" t="s">
        <v>1832</v>
      </c>
      <c r="F1727" s="1" t="s">
        <v>158</v>
      </c>
      <c r="G1727" s="1" t="str">
        <f>"00777910159"</f>
        <v>00777910159</v>
      </c>
      <c r="I1727" s="1" t="s">
        <v>790</v>
      </c>
      <c r="L1727" s="1" t="s">
        <v>43</v>
      </c>
      <c r="M1727" s="1">
        <v>300</v>
      </c>
      <c r="AG1727" s="1">
        <v>0</v>
      </c>
      <c r="AH1727" s="2">
        <v>45261</v>
      </c>
      <c r="AI1727" s="2">
        <v>45291</v>
      </c>
      <c r="AJ1727" s="2">
        <v>45261</v>
      </c>
    </row>
    <row r="1728" spans="1:36">
      <c r="A1728" s="1" t="str">
        <f>"Z7D3CB0B6C"</f>
        <v>Z7D3CB0B6C</v>
      </c>
      <c r="B1728" s="1" t="str">
        <f t="shared" si="34"/>
        <v>02406911202</v>
      </c>
      <c r="C1728" s="1" t="s">
        <v>13</v>
      </c>
      <c r="D1728" s="1" t="s">
        <v>177</v>
      </c>
      <c r="E1728" s="1" t="s">
        <v>1833</v>
      </c>
      <c r="F1728" s="1" t="s">
        <v>158</v>
      </c>
      <c r="G1728" s="1" t="str">
        <f>"06081430586"</f>
        <v>06081430586</v>
      </c>
      <c r="I1728" s="1" t="s">
        <v>1834</v>
      </c>
      <c r="L1728" s="1" t="s">
        <v>43</v>
      </c>
      <c r="M1728" s="1">
        <v>21000</v>
      </c>
      <c r="AG1728" s="1">
        <v>20000</v>
      </c>
      <c r="AH1728" s="2">
        <v>45208</v>
      </c>
      <c r="AI1728" s="2">
        <v>45245</v>
      </c>
      <c r="AJ1728" s="2">
        <v>45208</v>
      </c>
    </row>
    <row r="1729" spans="1:36">
      <c r="A1729" s="1" t="str">
        <f>"Z7D3CB820F"</f>
        <v>Z7D3CB820F</v>
      </c>
      <c r="B1729" s="1" t="str">
        <f t="shared" si="34"/>
        <v>02406911202</v>
      </c>
      <c r="C1729" s="1" t="s">
        <v>13</v>
      </c>
      <c r="D1729" s="1" t="s">
        <v>180</v>
      </c>
      <c r="E1729" s="1" t="s">
        <v>296</v>
      </c>
      <c r="F1729" s="1" t="s">
        <v>158</v>
      </c>
      <c r="G1729" s="1" t="str">
        <f>"06324460150"</f>
        <v>06324460150</v>
      </c>
      <c r="I1729" s="1" t="s">
        <v>451</v>
      </c>
      <c r="L1729" s="1" t="s">
        <v>43</v>
      </c>
      <c r="M1729" s="1">
        <v>6000</v>
      </c>
      <c r="AG1729" s="1">
        <v>5295.75</v>
      </c>
      <c r="AH1729" s="2">
        <v>45204</v>
      </c>
      <c r="AI1729" s="2">
        <v>45291</v>
      </c>
      <c r="AJ1729" s="2">
        <v>45204</v>
      </c>
    </row>
    <row r="1730" spans="1:36">
      <c r="A1730" s="1" t="str">
        <f>"Z7D3D1F13F"</f>
        <v>Z7D3D1F13F</v>
      </c>
      <c r="B1730" s="1" t="str">
        <f t="shared" ref="B1730:B1793" si="36">"02406911202"</f>
        <v>02406911202</v>
      </c>
      <c r="C1730" s="1" t="s">
        <v>13</v>
      </c>
      <c r="D1730" s="1" t="s">
        <v>180</v>
      </c>
      <c r="E1730" s="1" t="s">
        <v>244</v>
      </c>
      <c r="F1730" s="1" t="s">
        <v>158</v>
      </c>
      <c r="G1730" s="1" t="str">
        <f>"07862510018"</f>
        <v>07862510018</v>
      </c>
      <c r="I1730" s="1" t="s">
        <v>330</v>
      </c>
      <c r="L1730" s="1" t="s">
        <v>43</v>
      </c>
      <c r="M1730" s="1">
        <v>5000</v>
      </c>
      <c r="AG1730" s="1">
        <v>0</v>
      </c>
      <c r="AH1730" s="2">
        <v>45239</v>
      </c>
      <c r="AI1730" s="2">
        <v>45291</v>
      </c>
      <c r="AJ1730" s="2">
        <v>45239</v>
      </c>
    </row>
    <row r="1731" spans="1:36">
      <c r="A1731" s="1" t="str">
        <f>"Z7D3D4079A"</f>
        <v>Z7D3D4079A</v>
      </c>
      <c r="B1731" s="1" t="str">
        <f t="shared" si="36"/>
        <v>02406911202</v>
      </c>
      <c r="C1731" s="1" t="s">
        <v>13</v>
      </c>
      <c r="D1731" s="1" t="s">
        <v>264</v>
      </c>
      <c r="E1731" s="1" t="s">
        <v>1835</v>
      </c>
      <c r="F1731" s="1" t="s">
        <v>158</v>
      </c>
      <c r="G1731" s="1" t="str">
        <f>"05025030288"</f>
        <v>05025030288</v>
      </c>
      <c r="I1731" s="1" t="s">
        <v>627</v>
      </c>
      <c r="L1731" s="1" t="s">
        <v>43</v>
      </c>
      <c r="M1731" s="1">
        <v>16300</v>
      </c>
      <c r="AG1731" s="1">
        <v>0</v>
      </c>
      <c r="AH1731" s="2">
        <v>45243</v>
      </c>
      <c r="AI1731" s="2">
        <v>45250</v>
      </c>
      <c r="AJ1731" s="2">
        <v>45243</v>
      </c>
    </row>
    <row r="1732" spans="1:36">
      <c r="A1732" s="1" t="str">
        <f>"Z7D3D4079A"</f>
        <v>Z7D3D4079A</v>
      </c>
      <c r="B1732" s="1" t="str">
        <f t="shared" si="36"/>
        <v>02406911202</v>
      </c>
      <c r="C1732" s="1" t="s">
        <v>13</v>
      </c>
      <c r="D1732" s="1" t="s">
        <v>264</v>
      </c>
      <c r="E1732" s="1" t="s">
        <v>1835</v>
      </c>
      <c r="F1732" s="1" t="s">
        <v>158</v>
      </c>
      <c r="G1732" s="1" t="str">
        <f>"06167210480"</f>
        <v>06167210480</v>
      </c>
      <c r="I1732" s="1" t="s">
        <v>1749</v>
      </c>
      <c r="L1732" s="1" t="s">
        <v>100</v>
      </c>
      <c r="AJ1732" s="2">
        <v>45243</v>
      </c>
    </row>
    <row r="1733" spans="1:36">
      <c r="A1733" s="1" t="str">
        <f>"Z7E3C8DADD"</f>
        <v>Z7E3C8DADD</v>
      </c>
      <c r="B1733" s="1" t="str">
        <f t="shared" si="36"/>
        <v>02406911202</v>
      </c>
      <c r="C1733" s="1" t="s">
        <v>13</v>
      </c>
      <c r="D1733" s="1" t="s">
        <v>186</v>
      </c>
      <c r="E1733" s="1" t="s">
        <v>1836</v>
      </c>
      <c r="F1733" s="1" t="s">
        <v>158</v>
      </c>
      <c r="G1733" s="1" t="str">
        <f>"07947760158"</f>
        <v>07947760158</v>
      </c>
      <c r="I1733" s="1" t="s">
        <v>949</v>
      </c>
      <c r="L1733" s="1" t="s">
        <v>43</v>
      </c>
      <c r="M1733" s="1">
        <v>4999</v>
      </c>
      <c r="AG1733" s="1">
        <v>236</v>
      </c>
      <c r="AH1733" s="2">
        <v>45191</v>
      </c>
      <c r="AI1733" s="2">
        <v>45657</v>
      </c>
      <c r="AJ1733" s="2">
        <v>45191</v>
      </c>
    </row>
    <row r="1734" spans="1:36">
      <c r="A1734" s="1" t="str">
        <f>"Z7E3CD59EF"</f>
        <v>Z7E3CD59EF</v>
      </c>
      <c r="B1734" s="1" t="str">
        <f t="shared" si="36"/>
        <v>02406911202</v>
      </c>
      <c r="C1734" s="1" t="s">
        <v>13</v>
      </c>
      <c r="D1734" s="1" t="s">
        <v>177</v>
      </c>
      <c r="E1734" s="1" t="s">
        <v>1837</v>
      </c>
      <c r="F1734" s="1" t="s">
        <v>39</v>
      </c>
      <c r="G1734" s="1" t="str">
        <f>"04144000371"</f>
        <v>04144000371</v>
      </c>
      <c r="I1734" s="1" t="s">
        <v>256</v>
      </c>
      <c r="L1734" s="1" t="s">
        <v>43</v>
      </c>
      <c r="M1734" s="1">
        <v>30000</v>
      </c>
      <c r="AG1734" s="1">
        <v>0</v>
      </c>
      <c r="AH1734" s="2">
        <v>45200</v>
      </c>
      <c r="AI1734" s="2">
        <v>45291</v>
      </c>
      <c r="AJ1734" s="2">
        <v>45200</v>
      </c>
    </row>
    <row r="1735" spans="1:36">
      <c r="A1735" s="1" t="str">
        <f>"Z7E3D765B4"</f>
        <v>Z7E3D765B4</v>
      </c>
      <c r="B1735" s="1" t="str">
        <f t="shared" si="36"/>
        <v>02406911202</v>
      </c>
      <c r="C1735" s="1" t="s">
        <v>13</v>
      </c>
      <c r="D1735" s="1" t="s">
        <v>180</v>
      </c>
      <c r="E1735" s="1" t="s">
        <v>281</v>
      </c>
      <c r="F1735" s="1" t="s">
        <v>158</v>
      </c>
      <c r="G1735" s="1" t="str">
        <f>"00972790109"</f>
        <v>00972790109</v>
      </c>
      <c r="I1735" s="1" t="s">
        <v>934</v>
      </c>
      <c r="L1735" s="1" t="s">
        <v>43</v>
      </c>
      <c r="M1735" s="1">
        <v>6000</v>
      </c>
      <c r="AG1735" s="1">
        <v>0</v>
      </c>
      <c r="AH1735" s="2">
        <v>45257</v>
      </c>
      <c r="AI1735" s="2">
        <v>45291</v>
      </c>
      <c r="AJ1735" s="2">
        <v>45257</v>
      </c>
    </row>
    <row r="1736" spans="1:36">
      <c r="A1736" s="1" t="str">
        <f>"Z7E3DBD12A"</f>
        <v>Z7E3DBD12A</v>
      </c>
      <c r="B1736" s="1" t="str">
        <f t="shared" si="36"/>
        <v>02406911202</v>
      </c>
      <c r="C1736" s="1" t="s">
        <v>13</v>
      </c>
      <c r="D1736" s="1" t="s">
        <v>180</v>
      </c>
      <c r="E1736" s="1" t="s">
        <v>281</v>
      </c>
      <c r="F1736" s="1" t="s">
        <v>158</v>
      </c>
      <c r="G1736" s="1" t="str">
        <f>"12572900152"</f>
        <v>12572900152</v>
      </c>
      <c r="I1736" s="1" t="s">
        <v>335</v>
      </c>
      <c r="L1736" s="1" t="s">
        <v>43</v>
      </c>
      <c r="M1736" s="1">
        <v>6000</v>
      </c>
      <c r="AG1736" s="1">
        <v>0</v>
      </c>
      <c r="AH1736" s="2">
        <v>45279</v>
      </c>
      <c r="AI1736" s="2">
        <v>45291</v>
      </c>
      <c r="AJ1736" s="2">
        <v>45279</v>
      </c>
    </row>
    <row r="1737" spans="1:36">
      <c r="A1737" s="1" t="str">
        <f>"Z7E3DC14D1"</f>
        <v>Z7E3DC14D1</v>
      </c>
      <c r="B1737" s="1" t="str">
        <f t="shared" si="36"/>
        <v>02406911202</v>
      </c>
      <c r="C1737" s="1" t="s">
        <v>13</v>
      </c>
      <c r="D1737" s="1" t="s">
        <v>167</v>
      </c>
      <c r="E1737" s="1" t="s">
        <v>1838</v>
      </c>
      <c r="F1737" s="1" t="s">
        <v>158</v>
      </c>
      <c r="G1737" s="1" t="str">
        <f>"00777910159"</f>
        <v>00777910159</v>
      </c>
      <c r="I1737" s="1" t="s">
        <v>790</v>
      </c>
      <c r="L1737" s="1" t="s">
        <v>43</v>
      </c>
      <c r="M1737" s="1">
        <v>840</v>
      </c>
      <c r="AG1737" s="1">
        <v>0</v>
      </c>
      <c r="AH1737" s="2">
        <v>45279</v>
      </c>
      <c r="AI1737" s="2">
        <v>45291</v>
      </c>
      <c r="AJ1737" s="2">
        <v>45279</v>
      </c>
    </row>
    <row r="1738" spans="1:36">
      <c r="A1738" s="1" t="str">
        <f>"Z7E3DC672D"</f>
        <v>Z7E3DC672D</v>
      </c>
      <c r="B1738" s="1" t="str">
        <f t="shared" si="36"/>
        <v>02406911202</v>
      </c>
      <c r="C1738" s="1" t="s">
        <v>13</v>
      </c>
      <c r="D1738" s="1" t="s">
        <v>186</v>
      </c>
      <c r="E1738" s="1" t="s">
        <v>1839</v>
      </c>
      <c r="F1738" s="1" t="s">
        <v>158</v>
      </c>
      <c r="G1738" s="1" t="str">
        <f>"02119100358"</f>
        <v>02119100358</v>
      </c>
      <c r="I1738" s="1" t="s">
        <v>429</v>
      </c>
      <c r="L1738" s="1" t="s">
        <v>43</v>
      </c>
      <c r="M1738" s="1">
        <v>4999</v>
      </c>
      <c r="AG1738" s="1">
        <v>0</v>
      </c>
      <c r="AH1738" s="2">
        <v>45274</v>
      </c>
      <c r="AI1738" s="2">
        <v>45657</v>
      </c>
      <c r="AJ1738" s="2">
        <v>45274</v>
      </c>
    </row>
    <row r="1739" spans="1:36">
      <c r="A1739" s="1" t="str">
        <f>"Z7F3CC6611"</f>
        <v>Z7F3CC6611</v>
      </c>
      <c r="B1739" s="1" t="str">
        <f t="shared" si="36"/>
        <v>02406911202</v>
      </c>
      <c r="C1739" s="1" t="s">
        <v>13</v>
      </c>
      <c r="D1739" s="1" t="s">
        <v>180</v>
      </c>
      <c r="E1739" s="1" t="s">
        <v>296</v>
      </c>
      <c r="F1739" s="1" t="s">
        <v>158</v>
      </c>
      <c r="G1739" s="1" t="str">
        <f>"02173550282"</f>
        <v>02173550282</v>
      </c>
      <c r="I1739" s="1" t="s">
        <v>548</v>
      </c>
      <c r="L1739" s="1" t="s">
        <v>43</v>
      </c>
      <c r="M1739" s="1">
        <v>6000</v>
      </c>
      <c r="AG1739" s="1">
        <v>2724.7</v>
      </c>
      <c r="AH1739" s="2">
        <v>45209</v>
      </c>
      <c r="AI1739" s="2">
        <v>45291</v>
      </c>
      <c r="AJ1739" s="2">
        <v>45209</v>
      </c>
    </row>
    <row r="1740" spans="1:36">
      <c r="A1740" s="1" t="str">
        <f>"Z7F3CCEB69"</f>
        <v>Z7F3CCEB69</v>
      </c>
      <c r="B1740" s="1" t="str">
        <f t="shared" si="36"/>
        <v>02406911202</v>
      </c>
      <c r="C1740" s="1" t="s">
        <v>13</v>
      </c>
      <c r="D1740" s="1" t="s">
        <v>180</v>
      </c>
      <c r="E1740" s="1" t="s">
        <v>279</v>
      </c>
      <c r="F1740" s="1" t="s">
        <v>158</v>
      </c>
      <c r="G1740" s="1" t="str">
        <f>"12792100153"</f>
        <v>12792100153</v>
      </c>
      <c r="I1740" s="1" t="s">
        <v>58</v>
      </c>
      <c r="L1740" s="1" t="s">
        <v>43</v>
      </c>
      <c r="M1740" s="1">
        <v>6000</v>
      </c>
      <c r="AG1740" s="1">
        <v>3135.52</v>
      </c>
      <c r="AH1740" s="2">
        <v>45210</v>
      </c>
      <c r="AI1740" s="2">
        <v>45291</v>
      </c>
      <c r="AJ1740" s="2">
        <v>45210</v>
      </c>
    </row>
    <row r="1741" spans="1:36">
      <c r="A1741" s="1" t="str">
        <f>"Z7F3DAFBB1"</f>
        <v>Z7F3DAFBB1</v>
      </c>
      <c r="B1741" s="1" t="str">
        <f t="shared" si="36"/>
        <v>02406911202</v>
      </c>
      <c r="C1741" s="1" t="s">
        <v>13</v>
      </c>
      <c r="D1741" s="1" t="s">
        <v>167</v>
      </c>
      <c r="E1741" s="1" t="s">
        <v>1840</v>
      </c>
      <c r="F1741" s="1" t="s">
        <v>151</v>
      </c>
      <c r="G1741" s="1" t="str">
        <f>"11263180967"</f>
        <v>11263180967</v>
      </c>
      <c r="I1741" s="1" t="s">
        <v>1841</v>
      </c>
      <c r="L1741" s="1" t="s">
        <v>43</v>
      </c>
      <c r="M1741" s="1">
        <v>15017.67</v>
      </c>
      <c r="AG1741" s="1">
        <v>0</v>
      </c>
      <c r="AH1741" s="2">
        <v>45281</v>
      </c>
      <c r="AI1741" s="2">
        <v>46022</v>
      </c>
      <c r="AJ1741" s="2">
        <v>45281</v>
      </c>
    </row>
    <row r="1742" spans="1:36">
      <c r="A1742" s="1" t="str">
        <f>"Z803CED6E5"</f>
        <v>Z803CED6E5</v>
      </c>
      <c r="B1742" s="1" t="str">
        <f t="shared" si="36"/>
        <v>02406911202</v>
      </c>
      <c r="C1742" s="1" t="s">
        <v>13</v>
      </c>
      <c r="D1742" s="1" t="s">
        <v>180</v>
      </c>
      <c r="E1742" s="1" t="s">
        <v>185</v>
      </c>
      <c r="F1742" s="1" t="s">
        <v>158</v>
      </c>
      <c r="G1742" s="1" t="str">
        <f>"00228550273"</f>
        <v>00228550273</v>
      </c>
      <c r="I1742" s="1" t="s">
        <v>201</v>
      </c>
      <c r="L1742" s="1" t="s">
        <v>43</v>
      </c>
      <c r="M1742" s="1">
        <v>6000</v>
      </c>
      <c r="AG1742" s="1">
        <v>544.32000000000005</v>
      </c>
      <c r="AH1742" s="2">
        <v>45218</v>
      </c>
      <c r="AI1742" s="2">
        <v>45657</v>
      </c>
      <c r="AJ1742" s="2">
        <v>45218</v>
      </c>
    </row>
    <row r="1743" spans="1:36">
      <c r="A1743" s="1" t="str">
        <f>"Z813CA7D5A"</f>
        <v>Z813CA7D5A</v>
      </c>
      <c r="B1743" s="1" t="str">
        <f t="shared" si="36"/>
        <v>02406911202</v>
      </c>
      <c r="C1743" s="1" t="s">
        <v>13</v>
      </c>
      <c r="D1743" s="1" t="s">
        <v>167</v>
      </c>
      <c r="E1743" s="1" t="s">
        <v>1302</v>
      </c>
      <c r="F1743" s="1" t="s">
        <v>151</v>
      </c>
      <c r="G1743" s="1" t="str">
        <f>"01418430359"</f>
        <v>01418430359</v>
      </c>
      <c r="I1743" s="1" t="s">
        <v>1683</v>
      </c>
      <c r="L1743" s="1" t="s">
        <v>43</v>
      </c>
      <c r="M1743" s="1">
        <v>6576</v>
      </c>
      <c r="AG1743" s="1">
        <v>0</v>
      </c>
      <c r="AH1743" s="2">
        <v>45200</v>
      </c>
      <c r="AI1743" s="2">
        <v>45382</v>
      </c>
      <c r="AJ1743" s="2">
        <v>45200</v>
      </c>
    </row>
    <row r="1744" spans="1:36">
      <c r="A1744" s="1" t="str">
        <f>"Z813D1D2F3"</f>
        <v>Z813D1D2F3</v>
      </c>
      <c r="B1744" s="1" t="str">
        <f t="shared" si="36"/>
        <v>02406911202</v>
      </c>
      <c r="C1744" s="1" t="s">
        <v>13</v>
      </c>
      <c r="D1744" s="1" t="s">
        <v>186</v>
      </c>
      <c r="E1744" s="1" t="s">
        <v>1842</v>
      </c>
      <c r="F1744" s="1" t="s">
        <v>158</v>
      </c>
      <c r="G1744" s="1" t="str">
        <f>"02129190373"</f>
        <v>02129190373</v>
      </c>
      <c r="I1744" s="1" t="s">
        <v>968</v>
      </c>
      <c r="L1744" s="1" t="s">
        <v>43</v>
      </c>
      <c r="M1744" s="1">
        <v>38000</v>
      </c>
      <c r="AG1744" s="1">
        <v>0</v>
      </c>
      <c r="AH1744" s="2">
        <v>45240</v>
      </c>
      <c r="AI1744" s="2">
        <v>45626</v>
      </c>
      <c r="AJ1744" s="2">
        <v>45240</v>
      </c>
    </row>
    <row r="1745" spans="1:36">
      <c r="A1745" s="1" t="str">
        <f>"Z813D6DC44"</f>
        <v>Z813D6DC44</v>
      </c>
      <c r="B1745" s="1" t="str">
        <f t="shared" si="36"/>
        <v>02406911202</v>
      </c>
      <c r="C1745" s="1" t="s">
        <v>13</v>
      </c>
      <c r="D1745" s="1" t="s">
        <v>264</v>
      </c>
      <c r="E1745" s="1" t="s">
        <v>1843</v>
      </c>
      <c r="F1745" s="1" t="s">
        <v>158</v>
      </c>
      <c r="G1745" s="1" t="str">
        <f>"03946191206"</f>
        <v>03946191206</v>
      </c>
      <c r="I1745" s="1" t="s">
        <v>748</v>
      </c>
      <c r="L1745" s="1" t="s">
        <v>43</v>
      </c>
      <c r="M1745" s="1">
        <v>6440</v>
      </c>
      <c r="AG1745" s="1">
        <v>0</v>
      </c>
      <c r="AH1745" s="2">
        <v>45253</v>
      </c>
      <c r="AI1745" s="2">
        <v>45260</v>
      </c>
      <c r="AJ1745" s="2">
        <v>45253</v>
      </c>
    </row>
    <row r="1746" spans="1:36">
      <c r="A1746" s="1" t="str">
        <f>"Z813D9606F"</f>
        <v>Z813D9606F</v>
      </c>
      <c r="B1746" s="1" t="str">
        <f t="shared" si="36"/>
        <v>02406911202</v>
      </c>
      <c r="C1746" s="1" t="s">
        <v>13</v>
      </c>
      <c r="D1746" s="1" t="s">
        <v>180</v>
      </c>
      <c r="E1746" s="1" t="s">
        <v>279</v>
      </c>
      <c r="F1746" s="1" t="s">
        <v>158</v>
      </c>
      <c r="G1746" s="1" t="str">
        <f>"13209130155"</f>
        <v>13209130155</v>
      </c>
      <c r="I1746" s="1" t="s">
        <v>293</v>
      </c>
      <c r="L1746" s="1" t="s">
        <v>43</v>
      </c>
      <c r="M1746" s="1">
        <v>6000</v>
      </c>
      <c r="AG1746" s="1">
        <v>0</v>
      </c>
      <c r="AH1746" s="2">
        <v>45264</v>
      </c>
      <c r="AI1746" s="2">
        <v>45657</v>
      </c>
      <c r="AJ1746" s="2">
        <v>45264</v>
      </c>
    </row>
    <row r="1747" spans="1:36">
      <c r="A1747" s="1" t="str">
        <f>"Z823D48B5A"</f>
        <v>Z823D48B5A</v>
      </c>
      <c r="B1747" s="1" t="str">
        <f t="shared" si="36"/>
        <v>02406911202</v>
      </c>
      <c r="C1747" s="1" t="s">
        <v>13</v>
      </c>
      <c r="D1747" s="1" t="s">
        <v>180</v>
      </c>
      <c r="E1747" s="1" t="s">
        <v>181</v>
      </c>
      <c r="F1747" s="1" t="s">
        <v>158</v>
      </c>
      <c r="G1747" s="1" t="str">
        <f>"03907010585"</f>
        <v>03907010585</v>
      </c>
      <c r="I1747" s="1" t="s">
        <v>1844</v>
      </c>
      <c r="L1747" s="1" t="s">
        <v>43</v>
      </c>
      <c r="M1747" s="1">
        <v>5000</v>
      </c>
      <c r="AG1747" s="1">
        <v>0</v>
      </c>
      <c r="AH1747" s="2">
        <v>45245</v>
      </c>
      <c r="AI1747" s="2">
        <v>45291</v>
      </c>
      <c r="AJ1747" s="2">
        <v>45245</v>
      </c>
    </row>
    <row r="1748" spans="1:36">
      <c r="A1748" s="1" t="str">
        <f>"Z833C97DFD"</f>
        <v>Z833C97DFD</v>
      </c>
      <c r="B1748" s="1" t="str">
        <f t="shared" si="36"/>
        <v>02406911202</v>
      </c>
      <c r="C1748" s="1" t="s">
        <v>13</v>
      </c>
      <c r="D1748" s="1" t="s">
        <v>164</v>
      </c>
      <c r="E1748" s="1" t="s">
        <v>1845</v>
      </c>
      <c r="F1748" s="1" t="s">
        <v>39</v>
      </c>
      <c r="G1748" s="1" t="str">
        <f>"03410070365"</f>
        <v>03410070365</v>
      </c>
      <c r="I1748" s="1" t="s">
        <v>1846</v>
      </c>
      <c r="L1748" s="1" t="s">
        <v>43</v>
      </c>
      <c r="M1748" s="1">
        <v>1763.76</v>
      </c>
      <c r="AG1748" s="1">
        <v>0</v>
      </c>
      <c r="AH1748" s="2">
        <v>45195</v>
      </c>
      <c r="AI1748" s="2">
        <v>45291</v>
      </c>
      <c r="AJ1748" s="2">
        <v>45195</v>
      </c>
    </row>
    <row r="1749" spans="1:36">
      <c r="A1749" s="1" t="str">
        <f>"Z833C97DFD"</f>
        <v>Z833C97DFD</v>
      </c>
      <c r="B1749" s="1" t="str">
        <f t="shared" si="36"/>
        <v>02406911202</v>
      </c>
      <c r="C1749" s="1" t="s">
        <v>13</v>
      </c>
      <c r="D1749" s="1" t="s">
        <v>164</v>
      </c>
      <c r="E1749" s="1" t="s">
        <v>1845</v>
      </c>
      <c r="F1749" s="1" t="s">
        <v>39</v>
      </c>
      <c r="G1749" s="1" t="str">
        <f>"04427081007"</f>
        <v>04427081007</v>
      </c>
      <c r="I1749" s="1" t="s">
        <v>1575</v>
      </c>
      <c r="L1749" s="1" t="s">
        <v>100</v>
      </c>
      <c r="AJ1749" s="2">
        <v>45195</v>
      </c>
    </row>
    <row r="1750" spans="1:36">
      <c r="A1750" s="1" t="str">
        <f>"Z833C97DFD"</f>
        <v>Z833C97DFD</v>
      </c>
      <c r="B1750" s="1" t="str">
        <f t="shared" si="36"/>
        <v>02406911202</v>
      </c>
      <c r="C1750" s="1" t="s">
        <v>13</v>
      </c>
      <c r="D1750" s="1" t="s">
        <v>164</v>
      </c>
      <c r="E1750" s="1" t="s">
        <v>1845</v>
      </c>
      <c r="F1750" s="1" t="s">
        <v>39</v>
      </c>
      <c r="G1750" s="1" t="str">
        <f>"02376321200"</f>
        <v>02376321200</v>
      </c>
      <c r="I1750" s="1" t="s">
        <v>376</v>
      </c>
      <c r="L1750" s="1" t="s">
        <v>100</v>
      </c>
      <c r="AJ1750" s="2">
        <v>45195</v>
      </c>
    </row>
    <row r="1751" spans="1:36">
      <c r="A1751" s="1" t="str">
        <f>"Z833CE8E2B"</f>
        <v>Z833CE8E2B</v>
      </c>
      <c r="B1751" s="1" t="str">
        <f t="shared" si="36"/>
        <v>02406911202</v>
      </c>
      <c r="C1751" s="1" t="s">
        <v>13</v>
      </c>
      <c r="D1751" s="1" t="s">
        <v>177</v>
      </c>
      <c r="E1751" s="1" t="s">
        <v>1847</v>
      </c>
      <c r="F1751" s="1" t="s">
        <v>158</v>
      </c>
      <c r="G1751" s="1" t="str">
        <f>"03743140968"</f>
        <v>03743140968</v>
      </c>
      <c r="I1751" s="1" t="s">
        <v>1848</v>
      </c>
      <c r="L1751" s="1" t="s">
        <v>43</v>
      </c>
      <c r="M1751" s="1">
        <v>2459.0100000000002</v>
      </c>
      <c r="AG1751" s="1">
        <v>0</v>
      </c>
      <c r="AH1751" s="2">
        <v>45217</v>
      </c>
      <c r="AI1751" s="2">
        <v>45291</v>
      </c>
      <c r="AJ1751" s="2">
        <v>45217</v>
      </c>
    </row>
    <row r="1752" spans="1:36">
      <c r="A1752" s="1" t="str">
        <f>"Z833D96FAE"</f>
        <v>Z833D96FAE</v>
      </c>
      <c r="B1752" s="1" t="str">
        <f t="shared" si="36"/>
        <v>02406911202</v>
      </c>
      <c r="C1752" s="1" t="s">
        <v>13</v>
      </c>
      <c r="D1752" s="1" t="s">
        <v>180</v>
      </c>
      <c r="E1752" s="1" t="s">
        <v>281</v>
      </c>
      <c r="F1752" s="1" t="s">
        <v>158</v>
      </c>
      <c r="G1752" s="1" t="str">
        <f>"00514240142"</f>
        <v>00514240142</v>
      </c>
      <c r="I1752" s="1" t="s">
        <v>492</v>
      </c>
      <c r="L1752" s="1" t="s">
        <v>43</v>
      </c>
      <c r="M1752" s="1">
        <v>6000</v>
      </c>
      <c r="AG1752" s="1">
        <v>0</v>
      </c>
      <c r="AH1752" s="2">
        <v>45264</v>
      </c>
      <c r="AI1752" s="2">
        <v>45657</v>
      </c>
      <c r="AJ1752" s="2">
        <v>45264</v>
      </c>
    </row>
    <row r="1753" spans="1:36">
      <c r="A1753" s="1" t="str">
        <f>"Z843D2EA36"</f>
        <v>Z843D2EA36</v>
      </c>
      <c r="B1753" s="1" t="str">
        <f t="shared" si="36"/>
        <v>02406911202</v>
      </c>
      <c r="C1753" s="1" t="s">
        <v>13</v>
      </c>
      <c r="D1753" s="1" t="s">
        <v>177</v>
      </c>
      <c r="E1753" s="1" t="s">
        <v>1849</v>
      </c>
      <c r="F1753" s="1" t="s">
        <v>158</v>
      </c>
      <c r="G1753" s="1" t="str">
        <f>"03555570377"</f>
        <v>03555570377</v>
      </c>
      <c r="I1753" s="1" t="s">
        <v>1850</v>
      </c>
      <c r="L1753" s="1" t="s">
        <v>43</v>
      </c>
      <c r="M1753" s="1">
        <v>75000</v>
      </c>
      <c r="AG1753" s="1">
        <v>0</v>
      </c>
      <c r="AH1753" s="2">
        <v>45231</v>
      </c>
      <c r="AI1753" s="2">
        <v>45961</v>
      </c>
      <c r="AJ1753" s="2">
        <v>45231</v>
      </c>
    </row>
    <row r="1754" spans="1:36">
      <c r="A1754" s="1" t="str">
        <f>"Z843DBC9F5"</f>
        <v>Z843DBC9F5</v>
      </c>
      <c r="B1754" s="1" t="str">
        <f t="shared" si="36"/>
        <v>02406911202</v>
      </c>
      <c r="C1754" s="1" t="s">
        <v>13</v>
      </c>
      <c r="D1754" s="1" t="s">
        <v>180</v>
      </c>
      <c r="E1754" s="1" t="s">
        <v>281</v>
      </c>
      <c r="F1754" s="1" t="s">
        <v>158</v>
      </c>
      <c r="G1754" s="1" t="str">
        <f>"09270550016"</f>
        <v>09270550016</v>
      </c>
      <c r="I1754" s="1" t="s">
        <v>406</v>
      </c>
      <c r="L1754" s="1" t="s">
        <v>43</v>
      </c>
      <c r="M1754" s="1">
        <v>6000</v>
      </c>
      <c r="AG1754" s="1">
        <v>0</v>
      </c>
      <c r="AH1754" s="2">
        <v>45287</v>
      </c>
      <c r="AI1754" s="2">
        <v>45657</v>
      </c>
      <c r="AJ1754" s="2">
        <v>45287</v>
      </c>
    </row>
    <row r="1755" spans="1:36">
      <c r="A1755" s="1" t="str">
        <f>"Z853C527A8"</f>
        <v>Z853C527A8</v>
      </c>
      <c r="B1755" s="1" t="str">
        <f t="shared" si="36"/>
        <v>02406911202</v>
      </c>
      <c r="C1755" s="1" t="s">
        <v>13</v>
      </c>
      <c r="D1755" s="1" t="s">
        <v>164</v>
      </c>
      <c r="E1755" s="1" t="s">
        <v>1851</v>
      </c>
      <c r="F1755" s="1" t="s">
        <v>39</v>
      </c>
      <c r="G1755" s="1" t="str">
        <f>"GNUSVT65C27L331A"</f>
        <v>GNUSVT65C27L331A</v>
      </c>
      <c r="I1755" s="1" t="s">
        <v>1852</v>
      </c>
      <c r="L1755" s="1" t="s">
        <v>43</v>
      </c>
      <c r="M1755" s="1">
        <v>28500</v>
      </c>
      <c r="AG1755" s="1">
        <v>7125</v>
      </c>
      <c r="AH1755" s="2">
        <v>45170</v>
      </c>
      <c r="AI1755" s="2">
        <v>45473</v>
      </c>
      <c r="AJ1755" s="2">
        <v>45170</v>
      </c>
    </row>
    <row r="1756" spans="1:36">
      <c r="A1756" s="1" t="str">
        <f t="shared" ref="A1756:A1761" si="37">"Z853CAD3BB"</f>
        <v>Z853CAD3BB</v>
      </c>
      <c r="B1756" s="1" t="str">
        <f t="shared" si="36"/>
        <v>02406911202</v>
      </c>
      <c r="C1756" s="1" t="s">
        <v>13</v>
      </c>
      <c r="D1756" s="1" t="s">
        <v>264</v>
      </c>
      <c r="E1756" s="1" t="s">
        <v>1853</v>
      </c>
      <c r="F1756" s="1" t="s">
        <v>158</v>
      </c>
      <c r="G1756" s="1" t="str">
        <f>"03957810280"</f>
        <v>03957810280</v>
      </c>
      <c r="I1756" s="1" t="s">
        <v>1750</v>
      </c>
      <c r="L1756" s="1" t="s">
        <v>43</v>
      </c>
      <c r="M1756" s="1">
        <v>13280</v>
      </c>
      <c r="AG1756" s="1">
        <v>0</v>
      </c>
      <c r="AH1756" s="2">
        <v>45201</v>
      </c>
      <c r="AI1756" s="2">
        <v>45246</v>
      </c>
      <c r="AJ1756" s="2">
        <v>45201</v>
      </c>
    </row>
    <row r="1757" spans="1:36">
      <c r="A1757" s="1" t="str">
        <f t="shared" si="37"/>
        <v>Z853CAD3BB</v>
      </c>
      <c r="B1757" s="1" t="str">
        <f t="shared" si="36"/>
        <v>02406911202</v>
      </c>
      <c r="C1757" s="1" t="s">
        <v>13</v>
      </c>
      <c r="D1757" s="1" t="s">
        <v>264</v>
      </c>
      <c r="E1757" s="1" t="s">
        <v>1853</v>
      </c>
      <c r="F1757" s="1" t="s">
        <v>158</v>
      </c>
      <c r="G1757" s="1" t="str">
        <f>"01236110597"</f>
        <v>01236110597</v>
      </c>
      <c r="I1757" s="1" t="s">
        <v>1854</v>
      </c>
      <c r="L1757" s="1" t="s">
        <v>100</v>
      </c>
      <c r="AJ1757" s="2">
        <v>45201</v>
      </c>
    </row>
    <row r="1758" spans="1:36">
      <c r="A1758" s="1" t="str">
        <f t="shared" si="37"/>
        <v>Z853CAD3BB</v>
      </c>
      <c r="B1758" s="1" t="str">
        <f t="shared" si="36"/>
        <v>02406911202</v>
      </c>
      <c r="C1758" s="1" t="s">
        <v>13</v>
      </c>
      <c r="D1758" s="1" t="s">
        <v>264</v>
      </c>
      <c r="E1758" s="1" t="s">
        <v>1853</v>
      </c>
      <c r="F1758" s="1" t="s">
        <v>158</v>
      </c>
      <c r="G1758" s="1" t="str">
        <f>"10994940152"</f>
        <v>10994940152</v>
      </c>
      <c r="I1758" s="1" t="s">
        <v>209</v>
      </c>
      <c r="L1758" s="1" t="s">
        <v>100</v>
      </c>
      <c r="AJ1758" s="2">
        <v>45201</v>
      </c>
    </row>
    <row r="1759" spans="1:36">
      <c r="A1759" s="1" t="str">
        <f t="shared" si="37"/>
        <v>Z853CAD3BB</v>
      </c>
      <c r="B1759" s="1" t="str">
        <f t="shared" si="36"/>
        <v>02406911202</v>
      </c>
      <c r="C1759" s="1" t="s">
        <v>13</v>
      </c>
      <c r="D1759" s="1" t="s">
        <v>264</v>
      </c>
      <c r="E1759" s="1" t="s">
        <v>1853</v>
      </c>
      <c r="F1759" s="1" t="s">
        <v>158</v>
      </c>
      <c r="G1759" s="1" t="str">
        <f>"11159150157"</f>
        <v>11159150157</v>
      </c>
      <c r="I1759" s="1" t="s">
        <v>543</v>
      </c>
      <c r="L1759" s="1" t="s">
        <v>100</v>
      </c>
      <c r="AJ1759" s="2">
        <v>45201</v>
      </c>
    </row>
    <row r="1760" spans="1:36">
      <c r="A1760" s="1" t="str">
        <f t="shared" si="37"/>
        <v>Z853CAD3BB</v>
      </c>
      <c r="B1760" s="1" t="str">
        <f t="shared" si="36"/>
        <v>02406911202</v>
      </c>
      <c r="C1760" s="1" t="s">
        <v>13</v>
      </c>
      <c r="D1760" s="1" t="s">
        <v>264</v>
      </c>
      <c r="E1760" s="1" t="s">
        <v>1853</v>
      </c>
      <c r="F1760" s="1" t="s">
        <v>158</v>
      </c>
      <c r="G1760" s="1" t="str">
        <f>"02019210364"</f>
        <v>02019210364</v>
      </c>
      <c r="I1760" s="1" t="s">
        <v>1855</v>
      </c>
      <c r="L1760" s="1" t="s">
        <v>100</v>
      </c>
      <c r="AJ1760" s="2">
        <v>45201</v>
      </c>
    </row>
    <row r="1761" spans="1:36">
      <c r="A1761" s="1" t="str">
        <f t="shared" si="37"/>
        <v>Z853CAD3BB</v>
      </c>
      <c r="B1761" s="1" t="str">
        <f t="shared" si="36"/>
        <v>02406911202</v>
      </c>
      <c r="C1761" s="1" t="s">
        <v>13</v>
      </c>
      <c r="D1761" s="1" t="s">
        <v>264</v>
      </c>
      <c r="E1761" s="1" t="s">
        <v>1853</v>
      </c>
      <c r="F1761" s="1" t="s">
        <v>158</v>
      </c>
      <c r="G1761" s="1" t="str">
        <f>"08864080158"</f>
        <v>08864080158</v>
      </c>
      <c r="I1761" s="1" t="s">
        <v>438</v>
      </c>
      <c r="L1761" s="1" t="s">
        <v>100</v>
      </c>
      <c r="AJ1761" s="2">
        <v>45201</v>
      </c>
    </row>
    <row r="1762" spans="1:36">
      <c r="A1762" s="1" t="str">
        <f>"Z853D10B08"</f>
        <v>Z853D10B08</v>
      </c>
      <c r="B1762" s="1" t="str">
        <f t="shared" si="36"/>
        <v>02406911202</v>
      </c>
      <c r="C1762" s="1" t="s">
        <v>13</v>
      </c>
      <c r="D1762" s="1" t="s">
        <v>180</v>
      </c>
      <c r="E1762" s="1" t="s">
        <v>281</v>
      </c>
      <c r="F1762" s="1" t="s">
        <v>158</v>
      </c>
      <c r="G1762" s="1" t="str">
        <f>"12572900152"</f>
        <v>12572900152</v>
      </c>
      <c r="I1762" s="1" t="s">
        <v>335</v>
      </c>
      <c r="L1762" s="1" t="s">
        <v>43</v>
      </c>
      <c r="M1762" s="1">
        <v>6000</v>
      </c>
      <c r="AG1762" s="1">
        <v>0</v>
      </c>
      <c r="AH1762" s="2">
        <v>45229</v>
      </c>
      <c r="AI1762" s="2">
        <v>45291</v>
      </c>
      <c r="AJ1762" s="2">
        <v>45229</v>
      </c>
    </row>
    <row r="1763" spans="1:36">
      <c r="A1763" s="1" t="str">
        <f>"Z853D1F171"</f>
        <v>Z853D1F171</v>
      </c>
      <c r="B1763" s="1" t="str">
        <f t="shared" si="36"/>
        <v>02406911202</v>
      </c>
      <c r="C1763" s="1" t="s">
        <v>13</v>
      </c>
      <c r="D1763" s="1" t="s">
        <v>180</v>
      </c>
      <c r="E1763" s="1" t="s">
        <v>220</v>
      </c>
      <c r="F1763" s="1" t="s">
        <v>158</v>
      </c>
      <c r="G1763" s="1" t="str">
        <f>"06324460150"</f>
        <v>06324460150</v>
      </c>
      <c r="I1763" s="1" t="s">
        <v>451</v>
      </c>
      <c r="L1763" s="1" t="s">
        <v>43</v>
      </c>
      <c r="M1763" s="1">
        <v>5000</v>
      </c>
      <c r="AG1763" s="1">
        <v>0</v>
      </c>
      <c r="AH1763" s="2">
        <v>45244</v>
      </c>
      <c r="AI1763" s="2">
        <v>45657</v>
      </c>
      <c r="AJ1763" s="2">
        <v>45244</v>
      </c>
    </row>
    <row r="1764" spans="1:36">
      <c r="A1764" s="1" t="str">
        <f>"Z863D507F8"</f>
        <v>Z863D507F8</v>
      </c>
      <c r="B1764" s="1" t="str">
        <f t="shared" si="36"/>
        <v>02406911202</v>
      </c>
      <c r="C1764" s="1" t="s">
        <v>13</v>
      </c>
      <c r="D1764" s="1" t="s">
        <v>180</v>
      </c>
      <c r="E1764" s="1" t="s">
        <v>281</v>
      </c>
      <c r="F1764" s="1" t="s">
        <v>158</v>
      </c>
      <c r="G1764" s="1" t="str">
        <f>"12572900152"</f>
        <v>12572900152</v>
      </c>
      <c r="I1764" s="1" t="s">
        <v>335</v>
      </c>
      <c r="L1764" s="1" t="s">
        <v>43</v>
      </c>
      <c r="M1764" s="1">
        <v>6000</v>
      </c>
      <c r="AG1764" s="1">
        <v>0</v>
      </c>
      <c r="AH1764" s="2">
        <v>45246</v>
      </c>
      <c r="AI1764" s="2">
        <v>45291</v>
      </c>
      <c r="AJ1764" s="2">
        <v>45246</v>
      </c>
    </row>
    <row r="1765" spans="1:36">
      <c r="A1765" s="1" t="str">
        <f>"Z873D3414D"</f>
        <v>Z873D3414D</v>
      </c>
      <c r="B1765" s="1" t="str">
        <f t="shared" si="36"/>
        <v>02406911202</v>
      </c>
      <c r="C1765" s="1" t="s">
        <v>13</v>
      </c>
      <c r="D1765" s="1" t="s">
        <v>167</v>
      </c>
      <c r="E1765" s="1" t="s">
        <v>1662</v>
      </c>
      <c r="F1765" s="1" t="s">
        <v>151</v>
      </c>
      <c r="G1765" s="1" t="str">
        <f>"00753720879"</f>
        <v>00753720879</v>
      </c>
      <c r="I1765" s="1" t="s">
        <v>1856</v>
      </c>
      <c r="L1765" s="1" t="s">
        <v>43</v>
      </c>
      <c r="M1765" s="1">
        <v>28471.33</v>
      </c>
      <c r="AG1765" s="1">
        <v>0</v>
      </c>
      <c r="AH1765" s="2">
        <v>45239</v>
      </c>
      <c r="AI1765" s="2">
        <v>45351</v>
      </c>
      <c r="AJ1765" s="2">
        <v>45239</v>
      </c>
    </row>
    <row r="1766" spans="1:36">
      <c r="A1766" s="1" t="str">
        <f>"Z873D352F3"</f>
        <v>Z873D352F3</v>
      </c>
      <c r="B1766" s="1" t="str">
        <f t="shared" si="36"/>
        <v>02406911202</v>
      </c>
      <c r="C1766" s="1" t="s">
        <v>13</v>
      </c>
      <c r="D1766" s="1" t="s">
        <v>186</v>
      </c>
      <c r="E1766" s="1" t="s">
        <v>1857</v>
      </c>
      <c r="F1766" s="1" t="s">
        <v>158</v>
      </c>
      <c r="G1766" s="1" t="str">
        <f>"05096510267"</f>
        <v>05096510267</v>
      </c>
      <c r="I1766" s="1" t="s">
        <v>1593</v>
      </c>
      <c r="L1766" s="1" t="s">
        <v>43</v>
      </c>
      <c r="M1766" s="1">
        <v>4999</v>
      </c>
      <c r="AG1766" s="1">
        <v>0</v>
      </c>
      <c r="AH1766" s="2">
        <v>45239</v>
      </c>
      <c r="AI1766" s="2">
        <v>45657</v>
      </c>
      <c r="AJ1766" s="2">
        <v>45239</v>
      </c>
    </row>
    <row r="1767" spans="1:36">
      <c r="A1767" s="1" t="str">
        <f>"Z873D41CED"</f>
        <v>Z873D41CED</v>
      </c>
      <c r="B1767" s="1" t="str">
        <f t="shared" si="36"/>
        <v>02406911202</v>
      </c>
      <c r="C1767" s="1" t="s">
        <v>13</v>
      </c>
      <c r="D1767" s="1" t="s">
        <v>180</v>
      </c>
      <c r="E1767" s="1" t="s">
        <v>296</v>
      </c>
      <c r="F1767" s="1" t="s">
        <v>158</v>
      </c>
      <c r="G1767" s="1" t="str">
        <f>"11206730159"</f>
        <v>11206730159</v>
      </c>
      <c r="I1767" s="1" t="s">
        <v>68</v>
      </c>
      <c r="L1767" s="1" t="s">
        <v>43</v>
      </c>
      <c r="M1767" s="1">
        <v>5000</v>
      </c>
      <c r="AG1767" s="1">
        <v>0</v>
      </c>
      <c r="AH1767" s="2">
        <v>45244</v>
      </c>
      <c r="AI1767" s="2">
        <v>45291</v>
      </c>
      <c r="AJ1767" s="2">
        <v>45244</v>
      </c>
    </row>
    <row r="1768" spans="1:36">
      <c r="A1768" s="1" t="str">
        <f>"Z873D7E892"</f>
        <v>Z873D7E892</v>
      </c>
      <c r="B1768" s="1" t="str">
        <f t="shared" si="36"/>
        <v>02406911202</v>
      </c>
      <c r="C1768" s="1" t="s">
        <v>13</v>
      </c>
      <c r="D1768" s="1" t="s">
        <v>264</v>
      </c>
      <c r="E1768" s="1" t="s">
        <v>1858</v>
      </c>
      <c r="F1768" s="1" t="s">
        <v>158</v>
      </c>
      <c r="G1768" s="1" t="str">
        <f>"02704520341"</f>
        <v>02704520341</v>
      </c>
      <c r="I1768" s="1" t="s">
        <v>266</v>
      </c>
      <c r="L1768" s="1" t="s">
        <v>43</v>
      </c>
      <c r="M1768" s="1">
        <v>4985</v>
      </c>
      <c r="AG1768" s="1">
        <v>0</v>
      </c>
      <c r="AH1768" s="2">
        <v>45258</v>
      </c>
      <c r="AI1768" s="2">
        <v>45268</v>
      </c>
      <c r="AJ1768" s="2">
        <v>45258</v>
      </c>
    </row>
    <row r="1769" spans="1:36">
      <c r="A1769" s="1" t="str">
        <f>"Z883CD59B0"</f>
        <v>Z883CD59B0</v>
      </c>
      <c r="B1769" s="1" t="str">
        <f t="shared" si="36"/>
        <v>02406911202</v>
      </c>
      <c r="C1769" s="1" t="s">
        <v>13</v>
      </c>
      <c r="D1769" s="1" t="s">
        <v>180</v>
      </c>
      <c r="E1769" s="1" t="s">
        <v>281</v>
      </c>
      <c r="F1769" s="1" t="s">
        <v>158</v>
      </c>
      <c r="G1769" s="1" t="str">
        <f>"15685941005"</f>
        <v>15685941005</v>
      </c>
      <c r="I1769" s="1" t="s">
        <v>1495</v>
      </c>
      <c r="L1769" s="1" t="s">
        <v>43</v>
      </c>
      <c r="M1769" s="1">
        <v>6000</v>
      </c>
      <c r="AG1769" s="1">
        <v>3395</v>
      </c>
      <c r="AH1769" s="2">
        <v>45212</v>
      </c>
      <c r="AI1769" s="2">
        <v>45291</v>
      </c>
      <c r="AJ1769" s="2">
        <v>45212</v>
      </c>
    </row>
    <row r="1770" spans="1:36">
      <c r="A1770" s="1" t="str">
        <f>"Z883CD8F9D"</f>
        <v>Z883CD8F9D</v>
      </c>
      <c r="B1770" s="1" t="str">
        <f t="shared" si="36"/>
        <v>02406911202</v>
      </c>
      <c r="C1770" s="1" t="s">
        <v>13</v>
      </c>
      <c r="D1770" s="1" t="s">
        <v>264</v>
      </c>
      <c r="E1770" s="1" t="s">
        <v>1859</v>
      </c>
      <c r="F1770" s="1" t="s">
        <v>158</v>
      </c>
      <c r="G1770" s="1" t="str">
        <f>"12792100153"</f>
        <v>12792100153</v>
      </c>
      <c r="I1770" s="1" t="s">
        <v>58</v>
      </c>
      <c r="L1770" s="1" t="s">
        <v>43</v>
      </c>
      <c r="M1770" s="1">
        <v>5000</v>
      </c>
      <c r="AG1770" s="1">
        <v>0</v>
      </c>
      <c r="AH1770" s="2">
        <v>45212</v>
      </c>
      <c r="AI1770" s="2">
        <v>45291</v>
      </c>
      <c r="AJ1770" s="2">
        <v>45212</v>
      </c>
    </row>
    <row r="1771" spans="1:36">
      <c r="A1771" s="1" t="str">
        <f>"Z883CDC19E"</f>
        <v>Z883CDC19E</v>
      </c>
      <c r="B1771" s="1" t="str">
        <f t="shared" si="36"/>
        <v>02406911202</v>
      </c>
      <c r="C1771" s="1" t="s">
        <v>13</v>
      </c>
      <c r="D1771" s="1" t="s">
        <v>164</v>
      </c>
      <c r="E1771" s="1" t="s">
        <v>1860</v>
      </c>
      <c r="F1771" s="1" t="s">
        <v>158</v>
      </c>
      <c r="G1771" s="1" t="str">
        <f>"01408650511"</f>
        <v>01408650511</v>
      </c>
      <c r="I1771" s="1" t="s">
        <v>684</v>
      </c>
      <c r="L1771" s="1" t="s">
        <v>43</v>
      </c>
      <c r="M1771" s="1">
        <v>444</v>
      </c>
      <c r="AG1771" s="1">
        <v>444</v>
      </c>
      <c r="AH1771" s="2">
        <v>45215</v>
      </c>
      <c r="AI1771" s="2">
        <v>45657</v>
      </c>
      <c r="AJ1771" s="2">
        <v>45215</v>
      </c>
    </row>
    <row r="1772" spans="1:36">
      <c r="A1772" s="1" t="str">
        <f>"Z883D71028"</f>
        <v>Z883D71028</v>
      </c>
      <c r="B1772" s="1" t="str">
        <f t="shared" si="36"/>
        <v>02406911202</v>
      </c>
      <c r="C1772" s="1" t="s">
        <v>13</v>
      </c>
      <c r="D1772" s="1" t="s">
        <v>186</v>
      </c>
      <c r="E1772" s="1" t="s">
        <v>1861</v>
      </c>
      <c r="F1772" s="1" t="s">
        <v>158</v>
      </c>
      <c r="G1772" s="1" t="str">
        <f>"09018810151"</f>
        <v>09018810151</v>
      </c>
      <c r="I1772" s="1" t="s">
        <v>203</v>
      </c>
      <c r="L1772" s="1" t="s">
        <v>43</v>
      </c>
      <c r="M1772" s="1">
        <v>5998.8</v>
      </c>
      <c r="AG1772" s="1">
        <v>0</v>
      </c>
      <c r="AH1772" s="2">
        <v>45254</v>
      </c>
      <c r="AI1772" s="2">
        <v>45657</v>
      </c>
      <c r="AJ1772" s="2">
        <v>45254</v>
      </c>
    </row>
    <row r="1773" spans="1:36">
      <c r="A1773" s="1" t="str">
        <f>"Z883D8CE45"</f>
        <v>Z883D8CE45</v>
      </c>
      <c r="B1773" s="1" t="str">
        <f t="shared" si="36"/>
        <v>02406911202</v>
      </c>
      <c r="C1773" s="1" t="s">
        <v>13</v>
      </c>
      <c r="D1773" s="1" t="s">
        <v>180</v>
      </c>
      <c r="E1773" s="1" t="s">
        <v>279</v>
      </c>
      <c r="F1773" s="1" t="s">
        <v>158</v>
      </c>
      <c r="G1773" s="1" t="str">
        <f>"00076670595"</f>
        <v>00076670595</v>
      </c>
      <c r="I1773" s="1" t="s">
        <v>219</v>
      </c>
      <c r="L1773" s="1" t="s">
        <v>43</v>
      </c>
      <c r="M1773" s="1">
        <v>6000</v>
      </c>
      <c r="AG1773" s="1">
        <v>0</v>
      </c>
      <c r="AH1773" s="2">
        <v>45261</v>
      </c>
      <c r="AI1773" s="2">
        <v>45291</v>
      </c>
      <c r="AJ1773" s="2">
        <v>45261</v>
      </c>
    </row>
    <row r="1774" spans="1:36">
      <c r="A1774" s="1" t="str">
        <f>"Z893C9B77E"</f>
        <v>Z893C9B77E</v>
      </c>
      <c r="B1774" s="1" t="str">
        <f t="shared" si="36"/>
        <v>02406911202</v>
      </c>
      <c r="C1774" s="1" t="s">
        <v>13</v>
      </c>
      <c r="D1774" s="1" t="s">
        <v>180</v>
      </c>
      <c r="E1774" s="1" t="s">
        <v>281</v>
      </c>
      <c r="F1774" s="1" t="s">
        <v>158</v>
      </c>
      <c r="G1774" s="1" t="str">
        <f>"12572900152"</f>
        <v>12572900152</v>
      </c>
      <c r="I1774" s="1" t="s">
        <v>335</v>
      </c>
      <c r="L1774" s="1" t="s">
        <v>43</v>
      </c>
      <c r="M1774" s="1">
        <v>6000</v>
      </c>
      <c r="AG1774" s="1">
        <v>6932.7</v>
      </c>
      <c r="AH1774" s="2">
        <v>45196</v>
      </c>
      <c r="AI1774" s="2">
        <v>45291</v>
      </c>
      <c r="AJ1774" s="2">
        <v>45196</v>
      </c>
    </row>
    <row r="1775" spans="1:36">
      <c r="A1775" s="1" t="str">
        <f>"Z893CDF4DF"</f>
        <v>Z893CDF4DF</v>
      </c>
      <c r="B1775" s="1" t="str">
        <f t="shared" si="36"/>
        <v>02406911202</v>
      </c>
      <c r="C1775" s="1" t="s">
        <v>13</v>
      </c>
      <c r="D1775" s="1" t="s">
        <v>180</v>
      </c>
      <c r="E1775" s="1" t="s">
        <v>281</v>
      </c>
      <c r="F1775" s="1" t="s">
        <v>158</v>
      </c>
      <c r="G1775" s="1" t="str">
        <f>"00514240142"</f>
        <v>00514240142</v>
      </c>
      <c r="I1775" s="1" t="s">
        <v>492</v>
      </c>
      <c r="L1775" s="1" t="s">
        <v>43</v>
      </c>
      <c r="M1775" s="1">
        <v>6000</v>
      </c>
      <c r="AG1775" s="1">
        <v>6994.8</v>
      </c>
      <c r="AH1775" s="2">
        <v>45216</v>
      </c>
      <c r="AI1775" s="2">
        <v>45291</v>
      </c>
      <c r="AJ1775" s="2">
        <v>45216</v>
      </c>
    </row>
    <row r="1776" spans="1:36">
      <c r="A1776" s="1" t="str">
        <f>"Z893D0C38E"</f>
        <v>Z893D0C38E</v>
      </c>
      <c r="B1776" s="1" t="str">
        <f t="shared" si="36"/>
        <v>02406911202</v>
      </c>
      <c r="C1776" s="1" t="s">
        <v>13</v>
      </c>
      <c r="D1776" s="1" t="s">
        <v>186</v>
      </c>
      <c r="E1776" s="1" t="s">
        <v>1862</v>
      </c>
      <c r="F1776" s="1" t="s">
        <v>158</v>
      </c>
      <c r="G1776" s="1" t="str">
        <f>"03831290287"</f>
        <v>03831290287</v>
      </c>
      <c r="I1776" s="1" t="s">
        <v>1863</v>
      </c>
      <c r="L1776" s="1" t="s">
        <v>43</v>
      </c>
      <c r="M1776" s="1">
        <v>4999</v>
      </c>
      <c r="AG1776" s="1">
        <v>0</v>
      </c>
      <c r="AH1776" s="2">
        <v>45226</v>
      </c>
      <c r="AI1776" s="2">
        <v>46015</v>
      </c>
      <c r="AJ1776" s="2">
        <v>45226</v>
      </c>
    </row>
    <row r="1777" spans="1:36">
      <c r="A1777" s="1" t="str">
        <f>"Z893D13F18"</f>
        <v>Z893D13F18</v>
      </c>
      <c r="B1777" s="1" t="str">
        <f t="shared" si="36"/>
        <v>02406911202</v>
      </c>
      <c r="C1777" s="1" t="s">
        <v>13</v>
      </c>
      <c r="D1777" s="1" t="s">
        <v>177</v>
      </c>
      <c r="E1777" s="1" t="s">
        <v>1864</v>
      </c>
      <c r="F1777" s="1" t="s">
        <v>158</v>
      </c>
      <c r="G1777" s="1" t="str">
        <f>"03337831204"</f>
        <v>03337831204</v>
      </c>
      <c r="I1777" s="1" t="s">
        <v>1691</v>
      </c>
      <c r="L1777" s="1" t="s">
        <v>43</v>
      </c>
      <c r="M1777" s="1">
        <v>2100</v>
      </c>
      <c r="AG1777" s="1">
        <v>2100</v>
      </c>
      <c r="AH1777" s="2">
        <v>45230</v>
      </c>
      <c r="AI1777" s="2">
        <v>45291</v>
      </c>
      <c r="AJ1777" s="2">
        <v>45230</v>
      </c>
    </row>
    <row r="1778" spans="1:36">
      <c r="A1778" s="1" t="str">
        <f>"Z893D2BC7F"</f>
        <v>Z893D2BC7F</v>
      </c>
      <c r="B1778" s="1" t="str">
        <f t="shared" si="36"/>
        <v>02406911202</v>
      </c>
      <c r="C1778" s="1" t="s">
        <v>13</v>
      </c>
      <c r="D1778" s="1" t="s">
        <v>180</v>
      </c>
      <c r="E1778" s="1" t="s">
        <v>220</v>
      </c>
      <c r="F1778" s="1" t="s">
        <v>158</v>
      </c>
      <c r="G1778" s="1" t="str">
        <f>"07862510018"</f>
        <v>07862510018</v>
      </c>
      <c r="I1778" s="1" t="s">
        <v>330</v>
      </c>
      <c r="L1778" s="1" t="s">
        <v>43</v>
      </c>
      <c r="M1778" s="1">
        <v>5000</v>
      </c>
      <c r="AG1778" s="1">
        <v>0</v>
      </c>
      <c r="AH1778" s="2">
        <v>45239</v>
      </c>
      <c r="AI1778" s="2">
        <v>45291</v>
      </c>
      <c r="AJ1778" s="2">
        <v>45239</v>
      </c>
    </row>
    <row r="1779" spans="1:36">
      <c r="A1779" s="1" t="str">
        <f>"Z893D93A64"</f>
        <v>Z893D93A64</v>
      </c>
      <c r="B1779" s="1" t="str">
        <f t="shared" si="36"/>
        <v>02406911202</v>
      </c>
      <c r="C1779" s="1" t="s">
        <v>13</v>
      </c>
      <c r="D1779" s="1" t="s">
        <v>180</v>
      </c>
      <c r="E1779" s="1" t="s">
        <v>181</v>
      </c>
      <c r="F1779" s="1" t="s">
        <v>158</v>
      </c>
      <c r="G1779" s="1" t="str">
        <f>"11654150157"</f>
        <v>11654150157</v>
      </c>
      <c r="I1779" s="1" t="s">
        <v>263</v>
      </c>
      <c r="L1779" s="1" t="s">
        <v>43</v>
      </c>
      <c r="M1779" s="1">
        <v>5000</v>
      </c>
      <c r="AG1779" s="1">
        <v>0</v>
      </c>
      <c r="AH1779" s="2">
        <v>45264</v>
      </c>
      <c r="AI1779" s="2">
        <v>45291</v>
      </c>
      <c r="AJ1779" s="2">
        <v>45264</v>
      </c>
    </row>
    <row r="1780" spans="1:36">
      <c r="A1780" s="1" t="str">
        <f>"Z8A3D1649F"</f>
        <v>Z8A3D1649F</v>
      </c>
      <c r="B1780" s="1" t="str">
        <f t="shared" si="36"/>
        <v>02406911202</v>
      </c>
      <c r="C1780" s="1" t="s">
        <v>13</v>
      </c>
      <c r="D1780" s="1" t="s">
        <v>186</v>
      </c>
      <c r="E1780" s="1" t="s">
        <v>1865</v>
      </c>
      <c r="F1780" s="1" t="s">
        <v>158</v>
      </c>
      <c r="G1780" s="1" t="str">
        <f>"01865630287"</f>
        <v>01865630287</v>
      </c>
      <c r="I1780" s="1" t="s">
        <v>234</v>
      </c>
      <c r="L1780" s="1" t="s">
        <v>43</v>
      </c>
      <c r="M1780" s="1">
        <v>4999</v>
      </c>
      <c r="AG1780" s="1">
        <v>0</v>
      </c>
      <c r="AH1780" s="2">
        <v>45230</v>
      </c>
      <c r="AI1780" s="2">
        <v>46022</v>
      </c>
      <c r="AJ1780" s="2">
        <v>45230</v>
      </c>
    </row>
    <row r="1781" spans="1:36">
      <c r="A1781" s="1" t="str">
        <f>"Z8A3D2BCC4"</f>
        <v>Z8A3D2BCC4</v>
      </c>
      <c r="B1781" s="1" t="str">
        <f t="shared" si="36"/>
        <v>02406911202</v>
      </c>
      <c r="C1781" s="1" t="s">
        <v>13</v>
      </c>
      <c r="D1781" s="1" t="s">
        <v>180</v>
      </c>
      <c r="E1781" s="1" t="s">
        <v>181</v>
      </c>
      <c r="F1781" s="1" t="s">
        <v>158</v>
      </c>
      <c r="G1781" s="1" t="str">
        <f>"12679540968"</f>
        <v>12679540968</v>
      </c>
      <c r="I1781" s="1" t="s">
        <v>1385</v>
      </c>
      <c r="L1781" s="1" t="s">
        <v>43</v>
      </c>
      <c r="M1781" s="1">
        <v>5000</v>
      </c>
      <c r="AG1781" s="1">
        <v>0</v>
      </c>
      <c r="AH1781" s="2">
        <v>45238</v>
      </c>
      <c r="AI1781" s="2">
        <v>45291</v>
      </c>
      <c r="AJ1781" s="2">
        <v>45238</v>
      </c>
    </row>
    <row r="1782" spans="1:36">
      <c r="A1782" s="1" t="str">
        <f>"Z8A3D447E5"</f>
        <v>Z8A3D447E5</v>
      </c>
      <c r="B1782" s="1" t="str">
        <f t="shared" si="36"/>
        <v>02406911202</v>
      </c>
      <c r="C1782" s="1" t="s">
        <v>13</v>
      </c>
      <c r="D1782" s="1" t="s">
        <v>180</v>
      </c>
      <c r="E1782" s="1" t="s">
        <v>281</v>
      </c>
      <c r="F1782" s="1" t="s">
        <v>158</v>
      </c>
      <c r="G1782" s="1" t="str">
        <f>"04289840268"</f>
        <v>04289840268</v>
      </c>
      <c r="I1782" s="1" t="s">
        <v>302</v>
      </c>
      <c r="L1782" s="1" t="s">
        <v>43</v>
      </c>
      <c r="M1782" s="1">
        <v>6000</v>
      </c>
      <c r="AG1782" s="1">
        <v>0</v>
      </c>
      <c r="AH1782" s="2">
        <v>45244</v>
      </c>
      <c r="AI1782" s="2">
        <v>45291</v>
      </c>
      <c r="AJ1782" s="2">
        <v>45244</v>
      </c>
    </row>
    <row r="1783" spans="1:36">
      <c r="A1783" s="1" t="str">
        <f>"Z8B3DA8B3B"</f>
        <v>Z8B3DA8B3B</v>
      </c>
      <c r="B1783" s="1" t="str">
        <f t="shared" si="36"/>
        <v>02406911202</v>
      </c>
      <c r="C1783" s="1" t="s">
        <v>13</v>
      </c>
      <c r="D1783" s="1" t="s">
        <v>180</v>
      </c>
      <c r="E1783" s="1" t="s">
        <v>315</v>
      </c>
      <c r="F1783" s="1" t="s">
        <v>158</v>
      </c>
      <c r="G1783" s="1" t="str">
        <f>"11575730012"</f>
        <v>11575730012</v>
      </c>
      <c r="I1783" s="1" t="s">
        <v>763</v>
      </c>
      <c r="L1783" s="1" t="s">
        <v>43</v>
      </c>
      <c r="M1783" s="1">
        <v>6000</v>
      </c>
      <c r="AG1783" s="1">
        <v>0</v>
      </c>
      <c r="AH1783" s="2">
        <v>45267</v>
      </c>
      <c r="AI1783" s="2">
        <v>45291</v>
      </c>
      <c r="AJ1783" s="2">
        <v>45267</v>
      </c>
    </row>
    <row r="1784" spans="1:36">
      <c r="A1784" s="1" t="str">
        <f>"Z8B3DAE860"</f>
        <v>Z8B3DAE860</v>
      </c>
      <c r="B1784" s="1" t="str">
        <f t="shared" si="36"/>
        <v>02406911202</v>
      </c>
      <c r="C1784" s="1" t="s">
        <v>13</v>
      </c>
      <c r="D1784" s="1" t="s">
        <v>167</v>
      </c>
      <c r="E1784" s="1" t="s">
        <v>1866</v>
      </c>
      <c r="F1784" s="1" t="s">
        <v>151</v>
      </c>
      <c r="G1784" s="1" t="str">
        <f>"00101780492"</f>
        <v>00101780492</v>
      </c>
      <c r="I1784" s="1" t="s">
        <v>89</v>
      </c>
      <c r="L1784" s="1" t="s">
        <v>43</v>
      </c>
      <c r="M1784" s="1">
        <v>4691.6000000000004</v>
      </c>
      <c r="AG1784" s="1">
        <v>0</v>
      </c>
      <c r="AH1784" s="2">
        <v>45281</v>
      </c>
      <c r="AI1784" s="2">
        <v>46022</v>
      </c>
      <c r="AJ1784" s="2">
        <v>45281</v>
      </c>
    </row>
    <row r="1785" spans="1:36">
      <c r="A1785" s="1" t="str">
        <f>"Z8C3C5325E"</f>
        <v>Z8C3C5325E</v>
      </c>
      <c r="B1785" s="1" t="str">
        <f t="shared" si="36"/>
        <v>02406911202</v>
      </c>
      <c r="C1785" s="1" t="s">
        <v>13</v>
      </c>
      <c r="D1785" s="1" t="s">
        <v>164</v>
      </c>
      <c r="E1785" s="1" t="s">
        <v>1867</v>
      </c>
      <c r="F1785" s="1" t="s">
        <v>39</v>
      </c>
      <c r="G1785" s="1" t="str">
        <f>"04427081007"</f>
        <v>04427081007</v>
      </c>
      <c r="I1785" s="1" t="s">
        <v>1575</v>
      </c>
      <c r="L1785" s="1" t="s">
        <v>43</v>
      </c>
      <c r="M1785" s="1">
        <v>5455</v>
      </c>
      <c r="AG1785" s="1">
        <v>0</v>
      </c>
      <c r="AH1785" s="2">
        <v>45170</v>
      </c>
      <c r="AI1785" s="2">
        <v>45291</v>
      </c>
      <c r="AJ1785" s="2">
        <v>45170</v>
      </c>
    </row>
    <row r="1786" spans="1:36">
      <c r="A1786" s="1" t="str">
        <f>"Z8C3C5325E"</f>
        <v>Z8C3C5325E</v>
      </c>
      <c r="B1786" s="1" t="str">
        <f t="shared" si="36"/>
        <v>02406911202</v>
      </c>
      <c r="C1786" s="1" t="s">
        <v>13</v>
      </c>
      <c r="D1786" s="1" t="s">
        <v>164</v>
      </c>
      <c r="E1786" s="1" t="s">
        <v>1867</v>
      </c>
      <c r="F1786" s="1" t="s">
        <v>39</v>
      </c>
      <c r="G1786" s="1" t="str">
        <f>"03359340837"</f>
        <v>03359340837</v>
      </c>
      <c r="I1786" s="1" t="s">
        <v>759</v>
      </c>
      <c r="L1786" s="1" t="s">
        <v>100</v>
      </c>
      <c r="AJ1786" s="2">
        <v>45170</v>
      </c>
    </row>
    <row r="1787" spans="1:36">
      <c r="A1787" s="1" t="str">
        <f>"Z8C3C5325E"</f>
        <v>Z8C3C5325E</v>
      </c>
      <c r="B1787" s="1" t="str">
        <f t="shared" si="36"/>
        <v>02406911202</v>
      </c>
      <c r="C1787" s="1" t="s">
        <v>13</v>
      </c>
      <c r="D1787" s="1" t="s">
        <v>164</v>
      </c>
      <c r="E1787" s="1" t="s">
        <v>1867</v>
      </c>
      <c r="F1787" s="1" t="s">
        <v>39</v>
      </c>
      <c r="G1787" s="1" t="str">
        <f>"01355000132"</f>
        <v>01355000132</v>
      </c>
      <c r="I1787" s="1" t="s">
        <v>1868</v>
      </c>
      <c r="L1787" s="1" t="s">
        <v>100</v>
      </c>
      <c r="AJ1787" s="2">
        <v>45170</v>
      </c>
    </row>
    <row r="1788" spans="1:36">
      <c r="A1788" s="1" t="str">
        <f>"Z8C3C5325E"</f>
        <v>Z8C3C5325E</v>
      </c>
      <c r="B1788" s="1" t="str">
        <f t="shared" si="36"/>
        <v>02406911202</v>
      </c>
      <c r="C1788" s="1" t="s">
        <v>13</v>
      </c>
      <c r="D1788" s="1" t="s">
        <v>164</v>
      </c>
      <c r="E1788" s="1" t="s">
        <v>1867</v>
      </c>
      <c r="F1788" s="1" t="s">
        <v>39</v>
      </c>
      <c r="G1788" s="1" t="str">
        <f>"00740430335"</f>
        <v>00740430335</v>
      </c>
      <c r="I1788" s="1" t="s">
        <v>1514</v>
      </c>
      <c r="L1788" s="1" t="s">
        <v>100</v>
      </c>
      <c r="AJ1788" s="2">
        <v>45170</v>
      </c>
    </row>
    <row r="1789" spans="1:36">
      <c r="A1789" s="1" t="str">
        <f>"Z8C3CDE7F4"</f>
        <v>Z8C3CDE7F4</v>
      </c>
      <c r="B1789" s="1" t="str">
        <f t="shared" si="36"/>
        <v>02406911202</v>
      </c>
      <c r="C1789" s="1" t="s">
        <v>13</v>
      </c>
      <c r="D1789" s="1" t="s">
        <v>186</v>
      </c>
      <c r="E1789" s="1" t="s">
        <v>1869</v>
      </c>
      <c r="F1789" s="1" t="s">
        <v>158</v>
      </c>
      <c r="G1789" s="1" t="str">
        <f>"12933300969"</f>
        <v>12933300969</v>
      </c>
      <c r="I1789" s="1" t="s">
        <v>1251</v>
      </c>
      <c r="L1789" s="1" t="s">
        <v>43</v>
      </c>
      <c r="M1789" s="1">
        <v>29000</v>
      </c>
      <c r="AG1789" s="1">
        <v>0</v>
      </c>
      <c r="AH1789" s="2">
        <v>45225</v>
      </c>
      <c r="AI1789" s="2">
        <v>45777</v>
      </c>
      <c r="AJ1789" s="2">
        <v>45225</v>
      </c>
    </row>
    <row r="1790" spans="1:36">
      <c r="A1790" s="1" t="str">
        <f>"Z8C3DB13C9"</f>
        <v>Z8C3DB13C9</v>
      </c>
      <c r="B1790" s="1" t="str">
        <f t="shared" si="36"/>
        <v>02406911202</v>
      </c>
      <c r="C1790" s="1" t="s">
        <v>13</v>
      </c>
      <c r="D1790" s="1" t="s">
        <v>180</v>
      </c>
      <c r="E1790" s="1" t="s">
        <v>220</v>
      </c>
      <c r="F1790" s="1" t="s">
        <v>158</v>
      </c>
      <c r="G1790" s="1" t="str">
        <f>"11160660152"</f>
        <v>11160660152</v>
      </c>
      <c r="I1790" s="1" t="s">
        <v>457</v>
      </c>
      <c r="L1790" s="1" t="s">
        <v>43</v>
      </c>
      <c r="M1790" s="1">
        <v>6000</v>
      </c>
      <c r="AG1790" s="1">
        <v>0</v>
      </c>
      <c r="AH1790" s="2">
        <v>45271</v>
      </c>
      <c r="AI1790" s="2">
        <v>45657</v>
      </c>
      <c r="AJ1790" s="2">
        <v>45271</v>
      </c>
    </row>
    <row r="1791" spans="1:36">
      <c r="A1791" s="1" t="str">
        <f>"Z8D3CE7C46"</f>
        <v>Z8D3CE7C46</v>
      </c>
      <c r="B1791" s="1" t="str">
        <f t="shared" si="36"/>
        <v>02406911202</v>
      </c>
      <c r="C1791" s="1" t="s">
        <v>13</v>
      </c>
      <c r="D1791" s="1" t="s">
        <v>180</v>
      </c>
      <c r="E1791" s="1" t="s">
        <v>279</v>
      </c>
      <c r="F1791" s="1" t="s">
        <v>158</v>
      </c>
      <c r="G1791" s="1" t="str">
        <f>"05688870483"</f>
        <v>05688870483</v>
      </c>
      <c r="I1791" s="1" t="s">
        <v>1345</v>
      </c>
      <c r="L1791" s="1" t="s">
        <v>43</v>
      </c>
      <c r="M1791" s="1">
        <v>5000</v>
      </c>
      <c r="AG1791" s="1">
        <v>402</v>
      </c>
      <c r="AH1791" s="2">
        <v>45217</v>
      </c>
      <c r="AI1791" s="2">
        <v>45291</v>
      </c>
      <c r="AJ1791" s="2">
        <v>45217</v>
      </c>
    </row>
    <row r="1792" spans="1:36">
      <c r="A1792" s="1" t="str">
        <f>"Z8D3D2BE8E"</f>
        <v>Z8D3D2BE8E</v>
      </c>
      <c r="B1792" s="1" t="str">
        <f t="shared" si="36"/>
        <v>02406911202</v>
      </c>
      <c r="C1792" s="1" t="s">
        <v>13</v>
      </c>
      <c r="D1792" s="1" t="s">
        <v>264</v>
      </c>
      <c r="E1792" s="1" t="s">
        <v>1870</v>
      </c>
      <c r="F1792" s="1" t="s">
        <v>158</v>
      </c>
      <c r="G1792" s="1" t="str">
        <f>"02119100358"</f>
        <v>02119100358</v>
      </c>
      <c r="I1792" s="1" t="s">
        <v>429</v>
      </c>
      <c r="L1792" s="1" t="s">
        <v>43</v>
      </c>
      <c r="M1792" s="1">
        <v>8000</v>
      </c>
      <c r="AG1792" s="1">
        <v>0</v>
      </c>
      <c r="AH1792" s="2">
        <v>45238</v>
      </c>
      <c r="AI1792" s="2">
        <v>45245</v>
      </c>
      <c r="AJ1792" s="2">
        <v>45238</v>
      </c>
    </row>
    <row r="1793" spans="1:36">
      <c r="A1793" s="1" t="str">
        <f>"Z8D3D8465A"</f>
        <v>Z8D3D8465A</v>
      </c>
      <c r="B1793" s="1" t="str">
        <f t="shared" si="36"/>
        <v>02406911202</v>
      </c>
      <c r="C1793" s="1" t="s">
        <v>13</v>
      </c>
      <c r="D1793" s="1" t="s">
        <v>180</v>
      </c>
      <c r="E1793" s="1" t="s">
        <v>279</v>
      </c>
      <c r="F1793" s="1" t="s">
        <v>158</v>
      </c>
      <c r="G1793" s="1" t="str">
        <f>"01086690581"</f>
        <v>01086690581</v>
      </c>
      <c r="I1793" s="1" t="s">
        <v>1730</v>
      </c>
      <c r="L1793" s="1" t="s">
        <v>43</v>
      </c>
      <c r="M1793" s="1">
        <v>5000</v>
      </c>
      <c r="AG1793" s="1">
        <v>0</v>
      </c>
      <c r="AH1793" s="2">
        <v>45259</v>
      </c>
      <c r="AI1793" s="2">
        <v>45291</v>
      </c>
      <c r="AJ1793" s="2">
        <v>45259</v>
      </c>
    </row>
    <row r="1794" spans="1:36">
      <c r="A1794" s="1" t="str">
        <f>"Z8E3C9B004"</f>
        <v>Z8E3C9B004</v>
      </c>
      <c r="B1794" s="1" t="str">
        <f t="shared" ref="B1794:B1857" si="38">"02406911202"</f>
        <v>02406911202</v>
      </c>
      <c r="C1794" s="1" t="s">
        <v>13</v>
      </c>
      <c r="D1794" s="1" t="s">
        <v>180</v>
      </c>
      <c r="E1794" s="1" t="s">
        <v>296</v>
      </c>
      <c r="F1794" s="1" t="s">
        <v>158</v>
      </c>
      <c r="G1794" s="1" t="str">
        <f>"00204260285"</f>
        <v>00204260285</v>
      </c>
      <c r="I1794" s="1" t="s">
        <v>1871</v>
      </c>
      <c r="L1794" s="1" t="s">
        <v>43</v>
      </c>
      <c r="M1794" s="1">
        <v>5000</v>
      </c>
      <c r="AG1794" s="1">
        <v>0</v>
      </c>
      <c r="AH1794" s="2">
        <v>45196</v>
      </c>
      <c r="AI1794" s="2">
        <v>45291</v>
      </c>
      <c r="AJ1794" s="2">
        <v>45196</v>
      </c>
    </row>
    <row r="1795" spans="1:36">
      <c r="A1795" s="1" t="str">
        <f>"Z8E3D1AE41"</f>
        <v>Z8E3D1AE41</v>
      </c>
      <c r="B1795" s="1" t="str">
        <f t="shared" si="38"/>
        <v>02406911202</v>
      </c>
      <c r="C1795" s="1" t="s">
        <v>13</v>
      </c>
      <c r="D1795" s="1" t="s">
        <v>180</v>
      </c>
      <c r="E1795" s="1" t="s">
        <v>281</v>
      </c>
      <c r="F1795" s="1" t="s">
        <v>158</v>
      </c>
      <c r="G1795" s="1" t="str">
        <f>"00514240142"</f>
        <v>00514240142</v>
      </c>
      <c r="I1795" s="1" t="s">
        <v>492</v>
      </c>
      <c r="L1795" s="1" t="s">
        <v>43</v>
      </c>
      <c r="M1795" s="1">
        <v>6000</v>
      </c>
      <c r="AG1795" s="1">
        <v>0</v>
      </c>
      <c r="AH1795" s="2">
        <v>45232</v>
      </c>
      <c r="AI1795" s="2">
        <v>45291</v>
      </c>
      <c r="AJ1795" s="2">
        <v>45232</v>
      </c>
    </row>
    <row r="1796" spans="1:36">
      <c r="A1796" s="1" t="str">
        <f>"Z8E3D3C1AB"</f>
        <v>Z8E3D3C1AB</v>
      </c>
      <c r="B1796" s="1" t="str">
        <f t="shared" si="38"/>
        <v>02406911202</v>
      </c>
      <c r="C1796" s="1" t="s">
        <v>13</v>
      </c>
      <c r="D1796" s="1" t="s">
        <v>186</v>
      </c>
      <c r="E1796" s="1" t="s">
        <v>1872</v>
      </c>
      <c r="F1796" s="1" t="s">
        <v>158</v>
      </c>
      <c r="G1796" s="1" t="str">
        <f>"02668590215"</f>
        <v>02668590215</v>
      </c>
      <c r="I1796" s="1" t="s">
        <v>1873</v>
      </c>
      <c r="L1796" s="1" t="s">
        <v>43</v>
      </c>
      <c r="M1796" s="1">
        <v>25120</v>
      </c>
      <c r="AG1796" s="1">
        <v>0</v>
      </c>
      <c r="AH1796" s="2">
        <v>45250</v>
      </c>
      <c r="AI1796" s="2">
        <v>45808</v>
      </c>
      <c r="AJ1796" s="2">
        <v>45250</v>
      </c>
    </row>
    <row r="1797" spans="1:36">
      <c r="A1797" s="1" t="str">
        <f>"Z8E3D3C1AB"</f>
        <v>Z8E3D3C1AB</v>
      </c>
      <c r="B1797" s="1" t="str">
        <f t="shared" si="38"/>
        <v>02406911202</v>
      </c>
      <c r="C1797" s="1" t="s">
        <v>13</v>
      </c>
      <c r="D1797" s="1" t="s">
        <v>186</v>
      </c>
      <c r="E1797" s="1" t="s">
        <v>1872</v>
      </c>
      <c r="F1797" s="1" t="s">
        <v>158</v>
      </c>
      <c r="G1797" s="1" t="str">
        <f>"02129190373"</f>
        <v>02129190373</v>
      </c>
      <c r="I1797" s="1" t="s">
        <v>968</v>
      </c>
      <c r="L1797" s="1" t="s">
        <v>100</v>
      </c>
      <c r="AJ1797" s="2">
        <v>45250</v>
      </c>
    </row>
    <row r="1798" spans="1:36">
      <c r="A1798" s="1" t="str">
        <f>"Z8E3D6509F"</f>
        <v>Z8E3D6509F</v>
      </c>
      <c r="B1798" s="1" t="str">
        <f t="shared" si="38"/>
        <v>02406911202</v>
      </c>
      <c r="C1798" s="1" t="s">
        <v>13</v>
      </c>
      <c r="D1798" s="1" t="s">
        <v>180</v>
      </c>
      <c r="E1798" s="1" t="s">
        <v>279</v>
      </c>
      <c r="F1798" s="1" t="s">
        <v>158</v>
      </c>
      <c r="G1798" s="1" t="str">
        <f>"09075041005"</f>
        <v>09075041005</v>
      </c>
      <c r="I1798" s="1" t="s">
        <v>1230</v>
      </c>
      <c r="L1798" s="1" t="s">
        <v>43</v>
      </c>
      <c r="M1798" s="1">
        <v>6000</v>
      </c>
      <c r="AG1798" s="1">
        <v>0</v>
      </c>
      <c r="AH1798" s="2">
        <v>45252</v>
      </c>
      <c r="AI1798" s="2">
        <v>45657</v>
      </c>
      <c r="AJ1798" s="2">
        <v>45252</v>
      </c>
    </row>
    <row r="1799" spans="1:36">
      <c r="A1799" s="1" t="str">
        <f>"Z8F3CF819E"</f>
        <v>Z8F3CF819E</v>
      </c>
      <c r="B1799" s="1" t="str">
        <f t="shared" si="38"/>
        <v>02406911202</v>
      </c>
      <c r="C1799" s="1" t="s">
        <v>13</v>
      </c>
      <c r="D1799" s="1" t="s">
        <v>186</v>
      </c>
      <c r="E1799" s="1" t="s">
        <v>1874</v>
      </c>
      <c r="F1799" s="1" t="s">
        <v>158</v>
      </c>
      <c r="G1799" s="1" t="str">
        <f>"06267580485"</f>
        <v>06267580485</v>
      </c>
      <c r="I1799" s="1" t="s">
        <v>371</v>
      </c>
      <c r="L1799" s="1" t="s">
        <v>43</v>
      </c>
      <c r="M1799" s="1">
        <v>14000</v>
      </c>
      <c r="AG1799" s="1">
        <v>3628.4</v>
      </c>
      <c r="AH1799" s="2">
        <v>45237</v>
      </c>
      <c r="AI1799" s="2">
        <v>45473</v>
      </c>
      <c r="AJ1799" s="2">
        <v>45237</v>
      </c>
    </row>
    <row r="1800" spans="1:36">
      <c r="A1800" s="1" t="str">
        <f>"Z8F3D09426"</f>
        <v>Z8F3D09426</v>
      </c>
      <c r="B1800" s="1" t="str">
        <f t="shared" si="38"/>
        <v>02406911202</v>
      </c>
      <c r="C1800" s="1" t="s">
        <v>13</v>
      </c>
      <c r="D1800" s="1" t="s">
        <v>180</v>
      </c>
      <c r="E1800" s="1" t="s">
        <v>279</v>
      </c>
      <c r="F1800" s="1" t="s">
        <v>158</v>
      </c>
      <c r="G1800" s="1" t="str">
        <f>"00742090152"</f>
        <v>00742090152</v>
      </c>
      <c r="I1800" s="1" t="s">
        <v>851</v>
      </c>
      <c r="L1800" s="1" t="s">
        <v>43</v>
      </c>
      <c r="M1800" s="1">
        <v>5000</v>
      </c>
      <c r="AG1800" s="1">
        <v>0</v>
      </c>
      <c r="AH1800" s="2">
        <v>45226</v>
      </c>
      <c r="AI1800" s="2">
        <v>45291</v>
      </c>
      <c r="AJ1800" s="2">
        <v>45226</v>
      </c>
    </row>
    <row r="1801" spans="1:36">
      <c r="A1801" s="1" t="str">
        <f>"Z8F3D2BE1D"</f>
        <v>Z8F3D2BE1D</v>
      </c>
      <c r="B1801" s="1" t="str">
        <f t="shared" si="38"/>
        <v>02406911202</v>
      </c>
      <c r="C1801" s="1" t="s">
        <v>13</v>
      </c>
      <c r="D1801" s="1" t="s">
        <v>180</v>
      </c>
      <c r="E1801" s="1" t="s">
        <v>281</v>
      </c>
      <c r="F1801" s="1" t="s">
        <v>158</v>
      </c>
      <c r="G1801" s="1" t="str">
        <f>"08082461008"</f>
        <v>08082461008</v>
      </c>
      <c r="I1801" s="1" t="s">
        <v>88</v>
      </c>
      <c r="L1801" s="1" t="s">
        <v>43</v>
      </c>
      <c r="M1801" s="1">
        <v>6000</v>
      </c>
      <c r="AG1801" s="1">
        <v>0</v>
      </c>
      <c r="AH1801" s="2">
        <v>45238</v>
      </c>
      <c r="AI1801" s="2">
        <v>45291</v>
      </c>
      <c r="AJ1801" s="2">
        <v>45238</v>
      </c>
    </row>
    <row r="1802" spans="1:36">
      <c r="A1802" s="1" t="str">
        <f>"Z8F3D716F2"</f>
        <v>Z8F3D716F2</v>
      </c>
      <c r="B1802" s="1" t="str">
        <f t="shared" si="38"/>
        <v>02406911202</v>
      </c>
      <c r="C1802" s="1" t="s">
        <v>13</v>
      </c>
      <c r="D1802" s="1" t="s">
        <v>264</v>
      </c>
      <c r="E1802" s="1" t="s">
        <v>1875</v>
      </c>
      <c r="F1802" s="1" t="s">
        <v>158</v>
      </c>
      <c r="G1802" s="1" t="str">
        <f>"02404790392"</f>
        <v>02404790392</v>
      </c>
      <c r="I1802" s="1" t="s">
        <v>1876</v>
      </c>
      <c r="L1802" s="1" t="s">
        <v>43</v>
      </c>
      <c r="M1802" s="1">
        <v>2000</v>
      </c>
      <c r="AG1802" s="1">
        <v>0</v>
      </c>
      <c r="AH1802" s="2">
        <v>45254</v>
      </c>
      <c r="AI1802" s="2">
        <v>45291</v>
      </c>
      <c r="AJ1802" s="2">
        <v>45254</v>
      </c>
    </row>
    <row r="1803" spans="1:36">
      <c r="A1803" s="1" t="str">
        <f>"Z8F3DDBB14"</f>
        <v>Z8F3DDBB14</v>
      </c>
      <c r="B1803" s="1" t="str">
        <f t="shared" si="38"/>
        <v>02406911202</v>
      </c>
      <c r="C1803" s="1" t="s">
        <v>13</v>
      </c>
      <c r="D1803" s="1" t="s">
        <v>186</v>
      </c>
      <c r="E1803" s="1" t="s">
        <v>1877</v>
      </c>
      <c r="F1803" s="1" t="s">
        <v>158</v>
      </c>
      <c r="G1803" s="1" t="str">
        <f>"06324460150"</f>
        <v>06324460150</v>
      </c>
      <c r="I1803" s="1" t="s">
        <v>451</v>
      </c>
      <c r="L1803" s="1" t="s">
        <v>43</v>
      </c>
      <c r="M1803" s="1">
        <v>4999</v>
      </c>
      <c r="AG1803" s="1">
        <v>0</v>
      </c>
      <c r="AH1803" s="2">
        <v>45279</v>
      </c>
      <c r="AI1803" s="2">
        <v>45443</v>
      </c>
      <c r="AJ1803" s="2">
        <v>45279</v>
      </c>
    </row>
    <row r="1804" spans="1:36">
      <c r="A1804" s="1" t="str">
        <f>"Z903D2C058"</f>
        <v>Z903D2C058</v>
      </c>
      <c r="B1804" s="1" t="str">
        <f t="shared" si="38"/>
        <v>02406911202</v>
      </c>
      <c r="C1804" s="1" t="s">
        <v>13</v>
      </c>
      <c r="D1804" s="1" t="s">
        <v>180</v>
      </c>
      <c r="E1804" s="1" t="s">
        <v>181</v>
      </c>
      <c r="F1804" s="1" t="s">
        <v>158</v>
      </c>
      <c r="G1804" s="1" t="str">
        <f>"12679540968"</f>
        <v>12679540968</v>
      </c>
      <c r="I1804" s="1" t="s">
        <v>1385</v>
      </c>
      <c r="L1804" s="1" t="s">
        <v>43</v>
      </c>
      <c r="M1804" s="1">
        <v>5000</v>
      </c>
      <c r="AG1804" s="1">
        <v>0</v>
      </c>
      <c r="AH1804" s="2">
        <v>45238</v>
      </c>
      <c r="AI1804" s="2">
        <v>45291</v>
      </c>
      <c r="AJ1804" s="2">
        <v>45238</v>
      </c>
    </row>
    <row r="1805" spans="1:36">
      <c r="A1805" s="1" t="str">
        <f>"Z903D4C50D"</f>
        <v>Z903D4C50D</v>
      </c>
      <c r="B1805" s="1" t="str">
        <f t="shared" si="38"/>
        <v>02406911202</v>
      </c>
      <c r="C1805" s="1" t="s">
        <v>13</v>
      </c>
      <c r="D1805" s="1" t="s">
        <v>167</v>
      </c>
      <c r="E1805" s="1" t="s">
        <v>1403</v>
      </c>
      <c r="F1805" s="1" t="s">
        <v>151</v>
      </c>
      <c r="G1805" s="1" t="str">
        <f>"02803471206"</f>
        <v>02803471206</v>
      </c>
      <c r="I1805" s="1" t="s">
        <v>835</v>
      </c>
      <c r="L1805" s="1" t="s">
        <v>43</v>
      </c>
      <c r="M1805" s="1">
        <v>5000</v>
      </c>
      <c r="AG1805" s="1">
        <v>0</v>
      </c>
      <c r="AH1805" s="2">
        <v>45250</v>
      </c>
      <c r="AI1805" s="2">
        <v>45615</v>
      </c>
      <c r="AJ1805" s="2">
        <v>45250</v>
      </c>
    </row>
    <row r="1806" spans="1:36">
      <c r="A1806" s="1" t="str">
        <f>"Z913CB886E"</f>
        <v>Z913CB886E</v>
      </c>
      <c r="B1806" s="1" t="str">
        <f t="shared" si="38"/>
        <v>02406911202</v>
      </c>
      <c r="C1806" s="1" t="s">
        <v>13</v>
      </c>
      <c r="D1806" s="1" t="s">
        <v>180</v>
      </c>
      <c r="E1806" s="1" t="s">
        <v>279</v>
      </c>
      <c r="F1806" s="1" t="s">
        <v>158</v>
      </c>
      <c r="G1806" s="1" t="str">
        <f>"04185110154"</f>
        <v>04185110154</v>
      </c>
      <c r="I1806" s="1" t="s">
        <v>1027</v>
      </c>
      <c r="L1806" s="1" t="s">
        <v>43</v>
      </c>
      <c r="M1806" s="1">
        <v>5000</v>
      </c>
      <c r="AG1806" s="1">
        <v>2099.1999999999998</v>
      </c>
      <c r="AH1806" s="2">
        <v>45204</v>
      </c>
      <c r="AI1806" s="2">
        <v>45291</v>
      </c>
      <c r="AJ1806" s="2">
        <v>45204</v>
      </c>
    </row>
    <row r="1807" spans="1:36">
      <c r="A1807" s="1" t="str">
        <f>"Z913CE8728"</f>
        <v>Z913CE8728</v>
      </c>
      <c r="B1807" s="1" t="str">
        <f t="shared" si="38"/>
        <v>02406911202</v>
      </c>
      <c r="C1807" s="1" t="s">
        <v>13</v>
      </c>
      <c r="D1807" s="1" t="s">
        <v>180</v>
      </c>
      <c r="E1807" s="1" t="s">
        <v>296</v>
      </c>
      <c r="F1807" s="1" t="s">
        <v>158</v>
      </c>
      <c r="G1807" s="1" t="str">
        <f>"01749330047"</f>
        <v>01749330047</v>
      </c>
      <c r="I1807" s="1" t="s">
        <v>625</v>
      </c>
      <c r="L1807" s="1" t="s">
        <v>43</v>
      </c>
      <c r="M1807" s="1">
        <v>5000</v>
      </c>
      <c r="AG1807" s="1">
        <v>850</v>
      </c>
      <c r="AH1807" s="2">
        <v>45217</v>
      </c>
      <c r="AI1807" s="2">
        <v>45291</v>
      </c>
      <c r="AJ1807" s="2">
        <v>45217</v>
      </c>
    </row>
    <row r="1808" spans="1:36">
      <c r="A1808" s="1" t="str">
        <f>"Z913D03B77"</f>
        <v>Z913D03B77</v>
      </c>
      <c r="B1808" s="1" t="str">
        <f t="shared" si="38"/>
        <v>02406911202</v>
      </c>
      <c r="C1808" s="1" t="s">
        <v>13</v>
      </c>
      <c r="D1808" s="1" t="s">
        <v>180</v>
      </c>
      <c r="E1808" s="1" t="s">
        <v>281</v>
      </c>
      <c r="F1808" s="1" t="s">
        <v>158</v>
      </c>
      <c r="G1808" s="1" t="str">
        <f>"00514240142"</f>
        <v>00514240142</v>
      </c>
      <c r="I1808" s="1" t="s">
        <v>492</v>
      </c>
      <c r="L1808" s="1" t="s">
        <v>43</v>
      </c>
      <c r="M1808" s="1">
        <v>5000</v>
      </c>
      <c r="AG1808" s="1">
        <v>4518.8599999999997</v>
      </c>
      <c r="AH1808" s="2">
        <v>45225</v>
      </c>
      <c r="AI1808" s="2">
        <v>45291</v>
      </c>
      <c r="AJ1808" s="2">
        <v>45225</v>
      </c>
    </row>
    <row r="1809" spans="1:36">
      <c r="A1809" s="1" t="str">
        <f>"Z913D1E7EE"</f>
        <v>Z913D1E7EE</v>
      </c>
      <c r="B1809" s="1" t="str">
        <f t="shared" si="38"/>
        <v>02406911202</v>
      </c>
      <c r="C1809" s="1" t="s">
        <v>13</v>
      </c>
      <c r="D1809" s="1" t="s">
        <v>186</v>
      </c>
      <c r="E1809" s="1" t="s">
        <v>1878</v>
      </c>
      <c r="F1809" s="1" t="s">
        <v>158</v>
      </c>
      <c r="G1809" s="1" t="str">
        <f>"03507970378"</f>
        <v>03507970378</v>
      </c>
      <c r="I1809" s="1" t="s">
        <v>1879</v>
      </c>
      <c r="L1809" s="1" t="s">
        <v>43</v>
      </c>
      <c r="M1809" s="1">
        <v>4990</v>
      </c>
      <c r="AG1809" s="1">
        <v>0</v>
      </c>
      <c r="AH1809" s="2">
        <v>45233</v>
      </c>
      <c r="AI1809" s="2">
        <v>45657</v>
      </c>
      <c r="AJ1809" s="2">
        <v>45233</v>
      </c>
    </row>
    <row r="1810" spans="1:36">
      <c r="A1810" s="1" t="str">
        <f>"Z923D3067F"</f>
        <v>Z923D3067F</v>
      </c>
      <c r="B1810" s="1" t="str">
        <f t="shared" si="38"/>
        <v>02406911202</v>
      </c>
      <c r="C1810" s="1" t="s">
        <v>13</v>
      </c>
      <c r="D1810" s="1" t="s">
        <v>186</v>
      </c>
      <c r="E1810" s="1" t="s">
        <v>1880</v>
      </c>
      <c r="F1810" s="1" t="s">
        <v>158</v>
      </c>
      <c r="G1810" s="1" t="str">
        <f>"05424020963"</f>
        <v>05424020963</v>
      </c>
      <c r="I1810" s="1" t="s">
        <v>1881</v>
      </c>
      <c r="L1810" s="1" t="s">
        <v>43</v>
      </c>
      <c r="M1810" s="1">
        <v>4999</v>
      </c>
      <c r="AG1810" s="1">
        <v>0</v>
      </c>
      <c r="AH1810" s="2">
        <v>45239</v>
      </c>
      <c r="AI1810" s="2">
        <v>45960</v>
      </c>
      <c r="AJ1810" s="2">
        <v>45239</v>
      </c>
    </row>
    <row r="1811" spans="1:36">
      <c r="A1811" s="1" t="str">
        <f>"Z923D64CCC"</f>
        <v>Z923D64CCC</v>
      </c>
      <c r="B1811" s="1" t="str">
        <f t="shared" si="38"/>
        <v>02406911202</v>
      </c>
      <c r="C1811" s="1" t="s">
        <v>13</v>
      </c>
      <c r="D1811" s="1" t="s">
        <v>186</v>
      </c>
      <c r="E1811" s="1" t="s">
        <v>1882</v>
      </c>
      <c r="F1811" s="1" t="s">
        <v>158</v>
      </c>
      <c r="G1811" s="1" t="str">
        <f>"02471550265"</f>
        <v>02471550265</v>
      </c>
      <c r="I1811" s="1" t="s">
        <v>1883</v>
      </c>
      <c r="L1811" s="1" t="s">
        <v>43</v>
      </c>
      <c r="M1811" s="1">
        <v>4999</v>
      </c>
      <c r="AG1811" s="1">
        <v>0</v>
      </c>
      <c r="AH1811" s="2">
        <v>45252</v>
      </c>
      <c r="AI1811" s="2">
        <v>45747</v>
      </c>
      <c r="AJ1811" s="2">
        <v>45252</v>
      </c>
    </row>
    <row r="1812" spans="1:36">
      <c r="A1812" s="1" t="str">
        <f>"Z923DE6C5F"</f>
        <v>Z923DE6C5F</v>
      </c>
      <c r="B1812" s="1" t="str">
        <f t="shared" si="38"/>
        <v>02406911202</v>
      </c>
      <c r="C1812" s="1" t="s">
        <v>13</v>
      </c>
      <c r="D1812" s="1" t="s">
        <v>167</v>
      </c>
      <c r="E1812" s="1" t="s">
        <v>1884</v>
      </c>
      <c r="F1812" s="1" t="s">
        <v>158</v>
      </c>
      <c r="G1812" s="1" t="str">
        <f>"09864610150"</f>
        <v>09864610150</v>
      </c>
      <c r="I1812" s="1" t="s">
        <v>1707</v>
      </c>
      <c r="L1812" s="1" t="s">
        <v>43</v>
      </c>
      <c r="M1812" s="1">
        <v>350</v>
      </c>
      <c r="AG1812" s="1">
        <v>0</v>
      </c>
      <c r="AH1812" s="2">
        <v>45281</v>
      </c>
      <c r="AI1812" s="2">
        <v>45291</v>
      </c>
      <c r="AJ1812" s="2">
        <v>45281</v>
      </c>
    </row>
    <row r="1813" spans="1:36">
      <c r="A1813" s="1" t="str">
        <f>"Z933CC181E"</f>
        <v>Z933CC181E</v>
      </c>
      <c r="B1813" s="1" t="str">
        <f t="shared" si="38"/>
        <v>02406911202</v>
      </c>
      <c r="C1813" s="1" t="s">
        <v>13</v>
      </c>
      <c r="D1813" s="1" t="s">
        <v>180</v>
      </c>
      <c r="E1813" s="1" t="s">
        <v>281</v>
      </c>
      <c r="F1813" s="1" t="s">
        <v>158</v>
      </c>
      <c r="G1813" s="1" t="str">
        <f>"09270550016"</f>
        <v>09270550016</v>
      </c>
      <c r="I1813" s="1" t="s">
        <v>406</v>
      </c>
      <c r="L1813" s="1" t="s">
        <v>43</v>
      </c>
      <c r="M1813" s="1">
        <v>6000</v>
      </c>
      <c r="AG1813" s="1">
        <v>6556.5</v>
      </c>
      <c r="AH1813" s="2">
        <v>45208</v>
      </c>
      <c r="AI1813" s="2">
        <v>45291</v>
      </c>
      <c r="AJ1813" s="2">
        <v>45208</v>
      </c>
    </row>
    <row r="1814" spans="1:36">
      <c r="A1814" s="1" t="str">
        <f>"Z933D09730"</f>
        <v>Z933D09730</v>
      </c>
      <c r="B1814" s="1" t="str">
        <f t="shared" si="38"/>
        <v>02406911202</v>
      </c>
      <c r="C1814" s="1" t="s">
        <v>13</v>
      </c>
      <c r="D1814" s="1" t="s">
        <v>177</v>
      </c>
      <c r="E1814" s="1" t="s">
        <v>1885</v>
      </c>
      <c r="F1814" s="1" t="s">
        <v>158</v>
      </c>
      <c r="G1814" s="1" t="str">
        <f>"03699741207"</f>
        <v>03699741207</v>
      </c>
      <c r="I1814" s="1" t="s">
        <v>1379</v>
      </c>
      <c r="L1814" s="1" t="s">
        <v>43</v>
      </c>
      <c r="M1814" s="1">
        <v>21000</v>
      </c>
      <c r="AG1814" s="1">
        <v>0</v>
      </c>
      <c r="AH1814" s="2">
        <v>45231</v>
      </c>
      <c r="AJ1814" s="2">
        <v>45231</v>
      </c>
    </row>
    <row r="1815" spans="1:36">
      <c r="A1815" s="1" t="str">
        <f>"Z953C90557"</f>
        <v>Z953C90557</v>
      </c>
      <c r="B1815" s="1" t="str">
        <f t="shared" si="38"/>
        <v>02406911202</v>
      </c>
      <c r="C1815" s="1" t="s">
        <v>13</v>
      </c>
      <c r="D1815" s="1" t="s">
        <v>180</v>
      </c>
      <c r="E1815" s="1" t="s">
        <v>279</v>
      </c>
      <c r="F1815" s="1" t="s">
        <v>158</v>
      </c>
      <c r="G1815" s="1" t="str">
        <f>"08948430965"</f>
        <v>08948430965</v>
      </c>
      <c r="I1815" s="1" t="s">
        <v>894</v>
      </c>
      <c r="L1815" s="1" t="s">
        <v>43</v>
      </c>
      <c r="M1815" s="1">
        <v>6000</v>
      </c>
      <c r="AG1815" s="1">
        <v>2585.2800000000002</v>
      </c>
      <c r="AH1815" s="2">
        <v>45191</v>
      </c>
      <c r="AI1815" s="2">
        <v>45291</v>
      </c>
      <c r="AJ1815" s="2">
        <v>45191</v>
      </c>
    </row>
    <row r="1816" spans="1:36">
      <c r="A1816" s="1" t="str">
        <f>"Z953CB80AF"</f>
        <v>Z953CB80AF</v>
      </c>
      <c r="B1816" s="1" t="str">
        <f t="shared" si="38"/>
        <v>02406911202</v>
      </c>
      <c r="C1816" s="1" t="s">
        <v>13</v>
      </c>
      <c r="D1816" s="1" t="s">
        <v>180</v>
      </c>
      <c r="E1816" s="1" t="s">
        <v>281</v>
      </c>
      <c r="F1816" s="1" t="s">
        <v>158</v>
      </c>
      <c r="G1816" s="1" t="str">
        <f>"06828580966"</f>
        <v>06828580966</v>
      </c>
      <c r="I1816" s="1" t="s">
        <v>1886</v>
      </c>
      <c r="L1816" s="1" t="s">
        <v>43</v>
      </c>
      <c r="M1816" s="1">
        <v>5000</v>
      </c>
      <c r="AG1816" s="1">
        <v>2925</v>
      </c>
      <c r="AH1816" s="2">
        <v>45204</v>
      </c>
      <c r="AI1816" s="2">
        <v>45291</v>
      </c>
      <c r="AJ1816" s="2">
        <v>45204</v>
      </c>
    </row>
    <row r="1817" spans="1:36">
      <c r="A1817" s="1" t="str">
        <f>"Z953D10B6C"</f>
        <v>Z953D10B6C</v>
      </c>
      <c r="B1817" s="1" t="str">
        <f t="shared" si="38"/>
        <v>02406911202</v>
      </c>
      <c r="C1817" s="1" t="s">
        <v>13</v>
      </c>
      <c r="D1817" s="1" t="s">
        <v>180</v>
      </c>
      <c r="E1817" s="1" t="s">
        <v>296</v>
      </c>
      <c r="F1817" s="1" t="s">
        <v>158</v>
      </c>
      <c r="G1817" s="1" t="str">
        <f>"09831040150"</f>
        <v>09831040150</v>
      </c>
      <c r="I1817" s="1" t="s">
        <v>720</v>
      </c>
      <c r="L1817" s="1" t="s">
        <v>43</v>
      </c>
      <c r="M1817" s="1">
        <v>5000</v>
      </c>
      <c r="AG1817" s="1">
        <v>0</v>
      </c>
      <c r="AH1817" s="2">
        <v>45229</v>
      </c>
      <c r="AI1817" s="2">
        <v>45291</v>
      </c>
      <c r="AJ1817" s="2">
        <v>45229</v>
      </c>
    </row>
    <row r="1818" spans="1:36">
      <c r="A1818" s="1" t="str">
        <f>"Z953D27A1E"</f>
        <v>Z953D27A1E</v>
      </c>
      <c r="B1818" s="1" t="str">
        <f t="shared" si="38"/>
        <v>02406911202</v>
      </c>
      <c r="C1818" s="1" t="s">
        <v>13</v>
      </c>
      <c r="D1818" s="1" t="s">
        <v>177</v>
      </c>
      <c r="E1818" s="1" t="s">
        <v>1763</v>
      </c>
      <c r="F1818" s="1" t="s">
        <v>158</v>
      </c>
      <c r="G1818" s="1" t="str">
        <f>"02108350972"</f>
        <v>02108350972</v>
      </c>
      <c r="I1818" s="1" t="s">
        <v>1887</v>
      </c>
      <c r="L1818" s="1" t="s">
        <v>43</v>
      </c>
      <c r="M1818" s="1">
        <v>1500</v>
      </c>
      <c r="AG1818" s="1">
        <v>0</v>
      </c>
      <c r="AH1818" s="2">
        <v>45237</v>
      </c>
      <c r="AI1818" s="2">
        <v>45291</v>
      </c>
      <c r="AJ1818" s="2">
        <v>45237</v>
      </c>
    </row>
    <row r="1819" spans="1:36">
      <c r="A1819" s="1" t="str">
        <f>"Z953D9B057"</f>
        <v>Z953D9B057</v>
      </c>
      <c r="B1819" s="1" t="str">
        <f t="shared" si="38"/>
        <v>02406911202</v>
      </c>
      <c r="C1819" s="1" t="s">
        <v>13</v>
      </c>
      <c r="D1819" s="1" t="s">
        <v>186</v>
      </c>
      <c r="E1819" s="1" t="s">
        <v>1888</v>
      </c>
      <c r="F1819" s="1" t="s">
        <v>158</v>
      </c>
      <c r="G1819" s="1" t="str">
        <f>"02129190373"</f>
        <v>02129190373</v>
      </c>
      <c r="I1819" s="1" t="s">
        <v>968</v>
      </c>
      <c r="L1819" s="1" t="s">
        <v>43</v>
      </c>
      <c r="M1819" s="1">
        <v>4999</v>
      </c>
      <c r="AG1819" s="1">
        <v>0</v>
      </c>
      <c r="AH1819" s="2">
        <v>45265</v>
      </c>
      <c r="AI1819" s="2">
        <v>46022</v>
      </c>
      <c r="AJ1819" s="2">
        <v>45265</v>
      </c>
    </row>
    <row r="1820" spans="1:36">
      <c r="A1820" s="1" t="str">
        <f>"Z963C5C727"</f>
        <v>Z963C5C727</v>
      </c>
      <c r="B1820" s="1" t="str">
        <f t="shared" si="38"/>
        <v>02406911202</v>
      </c>
      <c r="C1820" s="1" t="s">
        <v>13</v>
      </c>
      <c r="D1820" s="1" t="s">
        <v>264</v>
      </c>
      <c r="E1820" s="1" t="s">
        <v>1889</v>
      </c>
      <c r="F1820" s="1" t="s">
        <v>158</v>
      </c>
      <c r="G1820" s="1" t="str">
        <f>"08864080158"</f>
        <v>08864080158</v>
      </c>
      <c r="I1820" s="1" t="s">
        <v>438</v>
      </c>
      <c r="L1820" s="1" t="s">
        <v>43</v>
      </c>
      <c r="M1820" s="1">
        <v>25346.16</v>
      </c>
      <c r="AG1820" s="1">
        <v>0</v>
      </c>
      <c r="AH1820" s="2">
        <v>45175</v>
      </c>
      <c r="AI1820" s="2">
        <v>45230</v>
      </c>
      <c r="AJ1820" s="2">
        <v>45175</v>
      </c>
    </row>
    <row r="1821" spans="1:36">
      <c r="A1821" s="1" t="str">
        <f>"Z963CD889A"</f>
        <v>Z963CD889A</v>
      </c>
      <c r="B1821" s="1" t="str">
        <f t="shared" si="38"/>
        <v>02406911202</v>
      </c>
      <c r="C1821" s="1" t="s">
        <v>13</v>
      </c>
      <c r="D1821" s="1" t="s">
        <v>180</v>
      </c>
      <c r="E1821" s="1" t="s">
        <v>1890</v>
      </c>
      <c r="F1821" s="1" t="s">
        <v>158</v>
      </c>
      <c r="G1821" s="1" t="str">
        <f>"08230471008"</f>
        <v>08230471008</v>
      </c>
      <c r="I1821" s="1" t="s">
        <v>666</v>
      </c>
      <c r="L1821" s="1" t="s">
        <v>43</v>
      </c>
      <c r="M1821" s="1">
        <v>5000</v>
      </c>
      <c r="AG1821" s="1">
        <v>1216.1199999999999</v>
      </c>
      <c r="AH1821" s="2">
        <v>45212</v>
      </c>
      <c r="AI1821" s="2">
        <v>45291</v>
      </c>
      <c r="AJ1821" s="2">
        <v>45212</v>
      </c>
    </row>
    <row r="1822" spans="1:36">
      <c r="A1822" s="1" t="str">
        <f>"Z963D14F58"</f>
        <v>Z963D14F58</v>
      </c>
      <c r="B1822" s="1" t="str">
        <f t="shared" si="38"/>
        <v>02406911202</v>
      </c>
      <c r="C1822" s="1" t="s">
        <v>13</v>
      </c>
      <c r="D1822" s="1" t="s">
        <v>180</v>
      </c>
      <c r="E1822" s="1" t="s">
        <v>281</v>
      </c>
      <c r="F1822" s="1" t="s">
        <v>158</v>
      </c>
      <c r="G1822" s="1" t="str">
        <f>"04289840268"</f>
        <v>04289840268</v>
      </c>
      <c r="I1822" s="1" t="s">
        <v>302</v>
      </c>
      <c r="L1822" s="1" t="s">
        <v>43</v>
      </c>
      <c r="M1822" s="1">
        <v>6000</v>
      </c>
      <c r="AG1822" s="1">
        <v>0</v>
      </c>
      <c r="AH1822" s="2">
        <v>45230</v>
      </c>
      <c r="AI1822" s="2">
        <v>45291</v>
      </c>
      <c r="AJ1822" s="2">
        <v>45230</v>
      </c>
    </row>
    <row r="1823" spans="1:36">
      <c r="A1823" s="1" t="str">
        <f>"Z963D5E9DE"</f>
        <v>Z963D5E9DE</v>
      </c>
      <c r="B1823" s="1" t="str">
        <f t="shared" si="38"/>
        <v>02406911202</v>
      </c>
      <c r="C1823" s="1" t="s">
        <v>13</v>
      </c>
      <c r="D1823" s="1" t="s">
        <v>180</v>
      </c>
      <c r="E1823" s="1" t="s">
        <v>281</v>
      </c>
      <c r="F1823" s="1" t="s">
        <v>158</v>
      </c>
      <c r="G1823" s="1" t="str">
        <f>"08082461008"</f>
        <v>08082461008</v>
      </c>
      <c r="I1823" s="1" t="s">
        <v>88</v>
      </c>
      <c r="L1823" s="1" t="s">
        <v>43</v>
      </c>
      <c r="M1823" s="1">
        <v>6000</v>
      </c>
      <c r="AG1823" s="1">
        <v>0</v>
      </c>
      <c r="AH1823" s="2">
        <v>45251</v>
      </c>
      <c r="AI1823" s="2">
        <v>45291</v>
      </c>
      <c r="AJ1823" s="2">
        <v>45251</v>
      </c>
    </row>
    <row r="1824" spans="1:36">
      <c r="A1824" s="1" t="str">
        <f>"Z963DBD0C5"</f>
        <v>Z963DBD0C5</v>
      </c>
      <c r="B1824" s="1" t="str">
        <f t="shared" si="38"/>
        <v>02406911202</v>
      </c>
      <c r="C1824" s="1" t="s">
        <v>13</v>
      </c>
      <c r="D1824" s="1" t="s">
        <v>180</v>
      </c>
      <c r="E1824" s="1" t="s">
        <v>281</v>
      </c>
      <c r="F1824" s="1" t="s">
        <v>158</v>
      </c>
      <c r="G1824" s="1" t="str">
        <f>"15685941005"</f>
        <v>15685941005</v>
      </c>
      <c r="I1824" s="1" t="s">
        <v>1495</v>
      </c>
      <c r="L1824" s="1" t="s">
        <v>43</v>
      </c>
      <c r="M1824" s="1">
        <v>6000</v>
      </c>
      <c r="AG1824" s="1">
        <v>0</v>
      </c>
      <c r="AH1824" s="2">
        <v>45288</v>
      </c>
      <c r="AI1824" s="2">
        <v>45657</v>
      </c>
      <c r="AJ1824" s="2">
        <v>45288</v>
      </c>
    </row>
    <row r="1825" spans="1:36">
      <c r="A1825" s="1" t="str">
        <f>"Z963DC4F40"</f>
        <v>Z963DC4F40</v>
      </c>
      <c r="B1825" s="1" t="str">
        <f t="shared" si="38"/>
        <v>02406911202</v>
      </c>
      <c r="C1825" s="1" t="s">
        <v>13</v>
      </c>
      <c r="D1825" s="1" t="s">
        <v>180</v>
      </c>
      <c r="E1825" s="1" t="s">
        <v>279</v>
      </c>
      <c r="F1825" s="1" t="s">
        <v>158</v>
      </c>
      <c r="G1825" s="1" t="str">
        <f>"15438541003"</f>
        <v>15438541003</v>
      </c>
      <c r="I1825" s="1" t="s">
        <v>377</v>
      </c>
      <c r="L1825" s="1" t="s">
        <v>43</v>
      </c>
      <c r="M1825" s="1">
        <v>6000</v>
      </c>
      <c r="AG1825" s="1">
        <v>0</v>
      </c>
      <c r="AH1825" s="2">
        <v>45274</v>
      </c>
      <c r="AI1825" s="2">
        <v>45291</v>
      </c>
      <c r="AJ1825" s="2">
        <v>45274</v>
      </c>
    </row>
    <row r="1826" spans="1:36">
      <c r="A1826" s="1" t="str">
        <f>"Z973CE7C07"</f>
        <v>Z973CE7C07</v>
      </c>
      <c r="B1826" s="1" t="str">
        <f t="shared" si="38"/>
        <v>02406911202</v>
      </c>
      <c r="C1826" s="1" t="s">
        <v>13</v>
      </c>
      <c r="D1826" s="1" t="s">
        <v>180</v>
      </c>
      <c r="E1826" s="1" t="s">
        <v>279</v>
      </c>
      <c r="F1826" s="1" t="s">
        <v>158</v>
      </c>
      <c r="G1826" s="1" t="str">
        <f>"03597020373"</f>
        <v>03597020373</v>
      </c>
      <c r="I1826" s="1" t="s">
        <v>254</v>
      </c>
      <c r="L1826" s="1" t="s">
        <v>43</v>
      </c>
      <c r="M1826" s="1">
        <v>5000</v>
      </c>
      <c r="AG1826" s="1">
        <v>5994</v>
      </c>
      <c r="AH1826" s="2">
        <v>45217</v>
      </c>
      <c r="AI1826" s="2">
        <v>45291</v>
      </c>
      <c r="AJ1826" s="2">
        <v>45217</v>
      </c>
    </row>
    <row r="1827" spans="1:36">
      <c r="A1827" s="1" t="str">
        <f>"Z973CFC47C"</f>
        <v>Z973CFC47C</v>
      </c>
      <c r="B1827" s="1" t="str">
        <f t="shared" si="38"/>
        <v>02406911202</v>
      </c>
      <c r="C1827" s="1" t="s">
        <v>13</v>
      </c>
      <c r="D1827" s="1" t="s">
        <v>264</v>
      </c>
      <c r="E1827" s="1" t="s">
        <v>1891</v>
      </c>
      <c r="F1827" s="1" t="s">
        <v>158</v>
      </c>
      <c r="G1827" s="1" t="str">
        <f>"02848620163"</f>
        <v>02848620163</v>
      </c>
      <c r="I1827" s="1" t="s">
        <v>262</v>
      </c>
      <c r="L1827" s="1" t="s">
        <v>43</v>
      </c>
      <c r="M1827" s="1">
        <v>200</v>
      </c>
      <c r="AG1827" s="1">
        <v>0</v>
      </c>
      <c r="AH1827" s="2">
        <v>45223</v>
      </c>
      <c r="AI1827" s="2">
        <v>45291</v>
      </c>
      <c r="AJ1827" s="2">
        <v>45223</v>
      </c>
    </row>
    <row r="1828" spans="1:36">
      <c r="A1828" s="1" t="str">
        <f>"Z973DA0147"</f>
        <v>Z973DA0147</v>
      </c>
      <c r="B1828" s="1" t="str">
        <f t="shared" si="38"/>
        <v>02406911202</v>
      </c>
      <c r="C1828" s="1" t="s">
        <v>13</v>
      </c>
      <c r="D1828" s="1" t="s">
        <v>180</v>
      </c>
      <c r="E1828" s="1" t="s">
        <v>296</v>
      </c>
      <c r="F1828" s="1" t="s">
        <v>158</v>
      </c>
      <c r="G1828" s="1" t="str">
        <f>"00759430267"</f>
        <v>00759430267</v>
      </c>
      <c r="I1828" s="1" t="s">
        <v>327</v>
      </c>
      <c r="L1828" s="1" t="s">
        <v>43</v>
      </c>
      <c r="M1828" s="1">
        <v>5000</v>
      </c>
      <c r="AG1828" s="1">
        <v>0</v>
      </c>
      <c r="AH1828" s="2">
        <v>45266</v>
      </c>
      <c r="AI1828" s="2">
        <v>45657</v>
      </c>
      <c r="AJ1828" s="2">
        <v>45266</v>
      </c>
    </row>
    <row r="1829" spans="1:36">
      <c r="A1829" s="1" t="str">
        <f>"Z983CE8715"</f>
        <v>Z983CE8715</v>
      </c>
      <c r="B1829" s="1" t="str">
        <f t="shared" si="38"/>
        <v>02406911202</v>
      </c>
      <c r="C1829" s="1" t="s">
        <v>13</v>
      </c>
      <c r="D1829" s="1" t="s">
        <v>180</v>
      </c>
      <c r="E1829" s="1" t="s">
        <v>296</v>
      </c>
      <c r="F1829" s="1" t="s">
        <v>158</v>
      </c>
      <c r="G1829" s="1" t="str">
        <f>"00759430267"</f>
        <v>00759430267</v>
      </c>
      <c r="I1829" s="1" t="s">
        <v>327</v>
      </c>
      <c r="L1829" s="1" t="s">
        <v>43</v>
      </c>
      <c r="M1829" s="1">
        <v>6000</v>
      </c>
      <c r="AG1829" s="1">
        <v>4490.3999999999996</v>
      </c>
      <c r="AH1829" s="2">
        <v>45217</v>
      </c>
      <c r="AI1829" s="2">
        <v>45291</v>
      </c>
      <c r="AJ1829" s="2">
        <v>45217</v>
      </c>
    </row>
    <row r="1830" spans="1:36">
      <c r="A1830" s="1" t="str">
        <f>"Z983CF6B88"</f>
        <v>Z983CF6B88</v>
      </c>
      <c r="B1830" s="1" t="str">
        <f t="shared" si="38"/>
        <v>02406911202</v>
      </c>
      <c r="C1830" s="1" t="s">
        <v>13</v>
      </c>
      <c r="D1830" s="1" t="s">
        <v>180</v>
      </c>
      <c r="E1830" s="1" t="s">
        <v>296</v>
      </c>
      <c r="F1830" s="1" t="s">
        <v>158</v>
      </c>
      <c r="G1830" s="1" t="str">
        <f>"01629650167"</f>
        <v>01629650167</v>
      </c>
      <c r="I1830" s="1" t="s">
        <v>735</v>
      </c>
      <c r="L1830" s="1" t="s">
        <v>43</v>
      </c>
      <c r="M1830" s="1">
        <v>5000</v>
      </c>
      <c r="AG1830" s="1">
        <v>0</v>
      </c>
      <c r="AH1830" s="2">
        <v>45222</v>
      </c>
      <c r="AI1830" s="2">
        <v>45291</v>
      </c>
      <c r="AJ1830" s="2">
        <v>45222</v>
      </c>
    </row>
    <row r="1831" spans="1:36">
      <c r="A1831" s="1" t="str">
        <f>"Z983D340FB"</f>
        <v>Z983D340FB</v>
      </c>
      <c r="B1831" s="1" t="str">
        <f t="shared" si="38"/>
        <v>02406911202</v>
      </c>
      <c r="C1831" s="1" t="s">
        <v>13</v>
      </c>
      <c r="D1831" s="1" t="s">
        <v>167</v>
      </c>
      <c r="E1831" s="1" t="s">
        <v>1662</v>
      </c>
      <c r="F1831" s="1" t="s">
        <v>151</v>
      </c>
      <c r="G1831" s="1" t="str">
        <f>"12933300969"</f>
        <v>12933300969</v>
      </c>
      <c r="I1831" s="1" t="s">
        <v>1251</v>
      </c>
      <c r="L1831" s="1" t="s">
        <v>43</v>
      </c>
      <c r="M1831" s="1">
        <v>32138.33</v>
      </c>
      <c r="AG1831" s="1">
        <v>0</v>
      </c>
      <c r="AH1831" s="2">
        <v>45239</v>
      </c>
      <c r="AI1831" s="2">
        <v>45351</v>
      </c>
      <c r="AJ1831" s="2">
        <v>45239</v>
      </c>
    </row>
    <row r="1832" spans="1:36">
      <c r="A1832" s="1" t="str">
        <f>"Z983D4867F"</f>
        <v>Z983D4867F</v>
      </c>
      <c r="B1832" s="1" t="str">
        <f t="shared" si="38"/>
        <v>02406911202</v>
      </c>
      <c r="C1832" s="1" t="s">
        <v>13</v>
      </c>
      <c r="D1832" s="1" t="s">
        <v>180</v>
      </c>
      <c r="E1832" s="1" t="s">
        <v>181</v>
      </c>
      <c r="F1832" s="1" t="s">
        <v>158</v>
      </c>
      <c r="G1832" s="1" t="str">
        <f>"11654150157"</f>
        <v>11654150157</v>
      </c>
      <c r="I1832" s="1" t="s">
        <v>263</v>
      </c>
      <c r="L1832" s="1" t="s">
        <v>43</v>
      </c>
      <c r="M1832" s="1">
        <v>5000</v>
      </c>
      <c r="AG1832" s="1">
        <v>0</v>
      </c>
      <c r="AH1832" s="2">
        <v>45243</v>
      </c>
      <c r="AI1832" s="2">
        <v>45291</v>
      </c>
      <c r="AJ1832" s="2">
        <v>45243</v>
      </c>
    </row>
    <row r="1833" spans="1:36">
      <c r="A1833" s="1" t="str">
        <f>"Z983D81D32"</f>
        <v>Z983D81D32</v>
      </c>
      <c r="B1833" s="1" t="str">
        <f t="shared" si="38"/>
        <v>02406911202</v>
      </c>
      <c r="C1833" s="1" t="s">
        <v>13</v>
      </c>
      <c r="D1833" s="1" t="s">
        <v>180</v>
      </c>
      <c r="E1833" s="1" t="s">
        <v>181</v>
      </c>
      <c r="F1833" s="1" t="s">
        <v>158</v>
      </c>
      <c r="G1833" s="1" t="str">
        <f>"02457060032"</f>
        <v>02457060032</v>
      </c>
      <c r="I1833" s="1" t="s">
        <v>320</v>
      </c>
      <c r="L1833" s="1" t="s">
        <v>43</v>
      </c>
      <c r="M1833" s="1">
        <v>5000</v>
      </c>
      <c r="AG1833" s="1">
        <v>0</v>
      </c>
      <c r="AH1833" s="2">
        <v>45259</v>
      </c>
      <c r="AI1833" s="2">
        <v>45657</v>
      </c>
      <c r="AJ1833" s="2">
        <v>45259</v>
      </c>
    </row>
    <row r="1834" spans="1:36">
      <c r="A1834" s="1" t="str">
        <f>"Z993CF9BD8"</f>
        <v>Z993CF9BD8</v>
      </c>
      <c r="B1834" s="1" t="str">
        <f t="shared" si="38"/>
        <v>02406911202</v>
      </c>
      <c r="C1834" s="1" t="s">
        <v>13</v>
      </c>
      <c r="D1834" s="1" t="s">
        <v>180</v>
      </c>
      <c r="E1834" s="1" t="s">
        <v>281</v>
      </c>
      <c r="F1834" s="1" t="s">
        <v>158</v>
      </c>
      <c r="G1834" s="1" t="str">
        <f>"12572900152"</f>
        <v>12572900152</v>
      </c>
      <c r="I1834" s="1" t="s">
        <v>335</v>
      </c>
      <c r="L1834" s="1" t="s">
        <v>43</v>
      </c>
      <c r="M1834" s="1">
        <v>6000</v>
      </c>
      <c r="AG1834" s="1">
        <v>0</v>
      </c>
      <c r="AH1834" s="2">
        <v>45223</v>
      </c>
      <c r="AI1834" s="2">
        <v>45291</v>
      </c>
      <c r="AJ1834" s="2">
        <v>45223</v>
      </c>
    </row>
    <row r="1835" spans="1:36">
      <c r="A1835" s="1" t="str">
        <f>"Z993D46764"</f>
        <v>Z993D46764</v>
      </c>
      <c r="B1835" s="1" t="str">
        <f t="shared" si="38"/>
        <v>02406911202</v>
      </c>
      <c r="C1835" s="1" t="s">
        <v>13</v>
      </c>
      <c r="D1835" s="1" t="s">
        <v>264</v>
      </c>
      <c r="E1835" s="1" t="s">
        <v>1892</v>
      </c>
      <c r="F1835" s="1" t="s">
        <v>158</v>
      </c>
      <c r="G1835" s="1" t="str">
        <f>"03992220966"</f>
        <v>03992220966</v>
      </c>
      <c r="I1835" s="1" t="s">
        <v>122</v>
      </c>
      <c r="L1835" s="1" t="s">
        <v>43</v>
      </c>
      <c r="M1835" s="1">
        <v>39900</v>
      </c>
      <c r="AG1835" s="1">
        <v>0</v>
      </c>
      <c r="AH1835" s="2">
        <v>45108</v>
      </c>
      <c r="AI1835" s="2">
        <v>45291</v>
      </c>
      <c r="AJ1835" s="2">
        <v>45108</v>
      </c>
    </row>
    <row r="1836" spans="1:36">
      <c r="A1836" s="1" t="str">
        <f>"Z993D48DA1"</f>
        <v>Z993D48DA1</v>
      </c>
      <c r="B1836" s="1" t="str">
        <f t="shared" si="38"/>
        <v>02406911202</v>
      </c>
      <c r="C1836" s="1" t="s">
        <v>13</v>
      </c>
      <c r="D1836" s="1" t="s">
        <v>186</v>
      </c>
      <c r="E1836" s="1" t="s">
        <v>1893</v>
      </c>
      <c r="F1836" s="1" t="s">
        <v>158</v>
      </c>
      <c r="G1836" s="1" t="str">
        <f>"02431141205"</f>
        <v>02431141205</v>
      </c>
      <c r="I1836" s="1" t="s">
        <v>1894</v>
      </c>
      <c r="L1836" s="1" t="s">
        <v>43</v>
      </c>
      <c r="M1836" s="1">
        <v>4999</v>
      </c>
      <c r="AG1836" s="1">
        <v>0</v>
      </c>
      <c r="AH1836" s="2">
        <v>45245</v>
      </c>
      <c r="AI1836" s="2">
        <v>46022</v>
      </c>
      <c r="AJ1836" s="2">
        <v>45245</v>
      </c>
    </row>
    <row r="1837" spans="1:36">
      <c r="A1837" s="1" t="str">
        <f>"Z9A3CD3461"</f>
        <v>Z9A3CD3461</v>
      </c>
      <c r="B1837" s="1" t="str">
        <f t="shared" si="38"/>
        <v>02406911202</v>
      </c>
      <c r="C1837" s="1" t="s">
        <v>13</v>
      </c>
      <c r="D1837" s="1" t="s">
        <v>180</v>
      </c>
      <c r="E1837" s="1" t="s">
        <v>296</v>
      </c>
      <c r="F1837" s="1" t="s">
        <v>158</v>
      </c>
      <c r="G1837" s="1" t="str">
        <f>"02823921206"</f>
        <v>02823921206</v>
      </c>
      <c r="I1837" s="1" t="s">
        <v>1895</v>
      </c>
      <c r="L1837" s="1" t="s">
        <v>43</v>
      </c>
      <c r="M1837" s="1">
        <v>5000</v>
      </c>
      <c r="AG1837" s="1">
        <v>1306.8</v>
      </c>
      <c r="AH1837" s="2">
        <v>45211</v>
      </c>
      <c r="AI1837" s="2">
        <v>45291</v>
      </c>
      <c r="AJ1837" s="2">
        <v>45211</v>
      </c>
    </row>
    <row r="1838" spans="1:36">
      <c r="A1838" s="1" t="str">
        <f>"Z9A3DB8755"</f>
        <v>Z9A3DB8755</v>
      </c>
      <c r="B1838" s="1" t="str">
        <f t="shared" si="38"/>
        <v>02406911202</v>
      </c>
      <c r="C1838" s="1" t="s">
        <v>13</v>
      </c>
      <c r="D1838" s="1" t="s">
        <v>180</v>
      </c>
      <c r="E1838" s="1" t="s">
        <v>296</v>
      </c>
      <c r="F1838" s="1" t="s">
        <v>158</v>
      </c>
      <c r="G1838" s="1" t="str">
        <f>"08864080158"</f>
        <v>08864080158</v>
      </c>
      <c r="I1838" s="1" t="s">
        <v>438</v>
      </c>
      <c r="L1838" s="1" t="s">
        <v>43</v>
      </c>
      <c r="M1838" s="1">
        <v>6000</v>
      </c>
      <c r="AG1838" s="1">
        <v>0</v>
      </c>
      <c r="AH1838" s="2">
        <v>45272</v>
      </c>
      <c r="AI1838" s="2">
        <v>45657</v>
      </c>
      <c r="AJ1838" s="2">
        <v>45272</v>
      </c>
    </row>
    <row r="1839" spans="1:36">
      <c r="A1839" s="1" t="str">
        <f>"Z9B3CE2DB0"</f>
        <v>Z9B3CE2DB0</v>
      </c>
      <c r="B1839" s="1" t="str">
        <f t="shared" si="38"/>
        <v>02406911202</v>
      </c>
      <c r="C1839" s="1" t="s">
        <v>13</v>
      </c>
      <c r="D1839" s="1" t="s">
        <v>264</v>
      </c>
      <c r="E1839" s="1" t="s">
        <v>1896</v>
      </c>
      <c r="F1839" s="1" t="s">
        <v>158</v>
      </c>
      <c r="G1839" s="1" t="str">
        <f>"00615560372"</f>
        <v>00615560372</v>
      </c>
      <c r="I1839" s="1" t="s">
        <v>1897</v>
      </c>
      <c r="L1839" s="1" t="s">
        <v>43</v>
      </c>
      <c r="M1839" s="1">
        <v>384.3</v>
      </c>
      <c r="AG1839" s="1">
        <v>0</v>
      </c>
      <c r="AH1839" s="2">
        <v>45216</v>
      </c>
      <c r="AI1839" s="2">
        <v>45223</v>
      </c>
      <c r="AJ1839" s="2">
        <v>45216</v>
      </c>
    </row>
    <row r="1840" spans="1:36">
      <c r="A1840" s="1" t="str">
        <f>"Z9B3D02E79"</f>
        <v>Z9B3D02E79</v>
      </c>
      <c r="B1840" s="1" t="str">
        <f t="shared" si="38"/>
        <v>02406911202</v>
      </c>
      <c r="C1840" s="1" t="s">
        <v>13</v>
      </c>
      <c r="D1840" s="1" t="s">
        <v>164</v>
      </c>
      <c r="E1840" s="1" t="s">
        <v>1898</v>
      </c>
      <c r="F1840" s="1" t="s">
        <v>158</v>
      </c>
      <c r="G1840" s="1" t="str">
        <f>"02376321200"</f>
        <v>02376321200</v>
      </c>
      <c r="I1840" s="1" t="s">
        <v>376</v>
      </c>
      <c r="L1840" s="1" t="s">
        <v>43</v>
      </c>
      <c r="M1840" s="1">
        <v>517.6</v>
      </c>
      <c r="AG1840" s="1">
        <v>0</v>
      </c>
      <c r="AH1840" s="2">
        <v>45224</v>
      </c>
      <c r="AI1840" s="2">
        <v>45291</v>
      </c>
      <c r="AJ1840" s="2">
        <v>45224</v>
      </c>
    </row>
    <row r="1841" spans="1:36">
      <c r="A1841" s="1" t="str">
        <f>"Z9B3D41F60"</f>
        <v>Z9B3D41F60</v>
      </c>
      <c r="B1841" s="1" t="str">
        <f t="shared" si="38"/>
        <v>02406911202</v>
      </c>
      <c r="C1841" s="1" t="s">
        <v>13</v>
      </c>
      <c r="D1841" s="1" t="s">
        <v>180</v>
      </c>
      <c r="E1841" s="1" t="s">
        <v>220</v>
      </c>
      <c r="F1841" s="1" t="s">
        <v>158</v>
      </c>
      <c r="G1841" s="1" t="str">
        <f>"09163950968"</f>
        <v>09163950968</v>
      </c>
      <c r="I1841" s="1" t="s">
        <v>1899</v>
      </c>
      <c r="L1841" s="1" t="s">
        <v>43</v>
      </c>
      <c r="M1841" s="1">
        <v>6000</v>
      </c>
      <c r="AG1841" s="1">
        <v>0</v>
      </c>
      <c r="AH1841" s="2">
        <v>45245</v>
      </c>
      <c r="AI1841" s="2">
        <v>45657</v>
      </c>
      <c r="AJ1841" s="2">
        <v>45245</v>
      </c>
    </row>
    <row r="1842" spans="1:36">
      <c r="A1842" s="1" t="str">
        <f>"Z9B3D91CED"</f>
        <v>Z9B3D91CED</v>
      </c>
      <c r="B1842" s="1" t="str">
        <f t="shared" si="38"/>
        <v>02406911202</v>
      </c>
      <c r="C1842" s="1" t="s">
        <v>13</v>
      </c>
      <c r="D1842" s="1" t="s">
        <v>186</v>
      </c>
      <c r="E1842" s="1" t="s">
        <v>1900</v>
      </c>
      <c r="F1842" s="1" t="s">
        <v>158</v>
      </c>
      <c r="G1842" s="1" t="str">
        <f>"01681100150"</f>
        <v>01681100150</v>
      </c>
      <c r="I1842" s="1" t="s">
        <v>494</v>
      </c>
      <c r="L1842" s="1" t="s">
        <v>43</v>
      </c>
      <c r="M1842" s="1">
        <v>4999</v>
      </c>
      <c r="AG1842" s="1">
        <v>0</v>
      </c>
      <c r="AH1842" s="2">
        <v>45262</v>
      </c>
      <c r="AI1842" s="2">
        <v>45838</v>
      </c>
      <c r="AJ1842" s="2">
        <v>45262</v>
      </c>
    </row>
    <row r="1843" spans="1:36">
      <c r="A1843" s="1" t="str">
        <f>"Z9C3C9073A"</f>
        <v>Z9C3C9073A</v>
      </c>
      <c r="B1843" s="1" t="str">
        <f t="shared" si="38"/>
        <v>02406911202</v>
      </c>
      <c r="C1843" s="1" t="s">
        <v>13</v>
      </c>
      <c r="D1843" s="1" t="s">
        <v>186</v>
      </c>
      <c r="E1843" s="1" t="s">
        <v>1901</v>
      </c>
      <c r="F1843" s="1" t="s">
        <v>158</v>
      </c>
      <c r="G1843" s="1" t="str">
        <f>"04891200281"</f>
        <v>04891200281</v>
      </c>
      <c r="I1843" s="1" t="s">
        <v>1902</v>
      </c>
      <c r="L1843" s="1" t="s">
        <v>43</v>
      </c>
      <c r="M1843" s="1">
        <v>4999</v>
      </c>
      <c r="AG1843" s="1">
        <v>0</v>
      </c>
      <c r="AH1843" s="2">
        <v>45191</v>
      </c>
      <c r="AI1843" s="2">
        <v>45657</v>
      </c>
      <c r="AJ1843" s="2">
        <v>45191</v>
      </c>
    </row>
    <row r="1844" spans="1:36">
      <c r="A1844" s="1" t="str">
        <f>"Z9C3D27233"</f>
        <v>Z9C3D27233</v>
      </c>
      <c r="B1844" s="1" t="str">
        <f t="shared" si="38"/>
        <v>02406911202</v>
      </c>
      <c r="C1844" s="1" t="s">
        <v>13</v>
      </c>
      <c r="D1844" s="1" t="s">
        <v>177</v>
      </c>
      <c r="E1844" s="1" t="s">
        <v>534</v>
      </c>
      <c r="F1844" s="1" t="s">
        <v>158</v>
      </c>
      <c r="G1844" s="1" t="str">
        <f>"04068661208"</f>
        <v>04068661208</v>
      </c>
      <c r="I1844" s="1" t="s">
        <v>1903</v>
      </c>
      <c r="L1844" s="1" t="s">
        <v>43</v>
      </c>
      <c r="M1844" s="1">
        <v>2590.16</v>
      </c>
      <c r="AG1844" s="1">
        <v>0</v>
      </c>
      <c r="AH1844" s="2">
        <v>45237</v>
      </c>
      <c r="AI1844" s="2">
        <v>45291</v>
      </c>
      <c r="AJ1844" s="2">
        <v>45237</v>
      </c>
    </row>
    <row r="1845" spans="1:36">
      <c r="A1845" s="1" t="str">
        <f>"Z9D3D7C64D"</f>
        <v>Z9D3D7C64D</v>
      </c>
      <c r="B1845" s="1" t="str">
        <f t="shared" si="38"/>
        <v>02406911202</v>
      </c>
      <c r="C1845" s="1" t="s">
        <v>13</v>
      </c>
      <c r="D1845" s="1" t="s">
        <v>186</v>
      </c>
      <c r="E1845" s="1" t="s">
        <v>1904</v>
      </c>
      <c r="F1845" s="1" t="s">
        <v>158</v>
      </c>
      <c r="G1845" s="1" t="str">
        <f>"02125550349"</f>
        <v>02125550349</v>
      </c>
      <c r="I1845" s="1" t="s">
        <v>308</v>
      </c>
      <c r="L1845" s="1" t="s">
        <v>43</v>
      </c>
      <c r="M1845" s="1">
        <v>4999</v>
      </c>
      <c r="AG1845" s="1">
        <v>0</v>
      </c>
      <c r="AH1845" s="2">
        <v>45258</v>
      </c>
      <c r="AI1845" s="2">
        <v>46022</v>
      </c>
      <c r="AJ1845" s="2">
        <v>45258</v>
      </c>
    </row>
    <row r="1846" spans="1:36">
      <c r="A1846" s="1" t="str">
        <f>"Z9D3DBD1AD"</f>
        <v>Z9D3DBD1AD</v>
      </c>
      <c r="B1846" s="1" t="str">
        <f t="shared" si="38"/>
        <v>02406911202</v>
      </c>
      <c r="C1846" s="1" t="s">
        <v>13</v>
      </c>
      <c r="D1846" s="1" t="s">
        <v>180</v>
      </c>
      <c r="E1846" s="1" t="s">
        <v>281</v>
      </c>
      <c r="F1846" s="1" t="s">
        <v>158</v>
      </c>
      <c r="G1846" s="1" t="str">
        <f>"09270550016"</f>
        <v>09270550016</v>
      </c>
      <c r="I1846" s="1" t="s">
        <v>406</v>
      </c>
      <c r="L1846" s="1" t="s">
        <v>43</v>
      </c>
      <c r="M1846" s="1">
        <v>6000</v>
      </c>
      <c r="AG1846" s="1">
        <v>0</v>
      </c>
      <c r="AH1846" s="2">
        <v>45289</v>
      </c>
      <c r="AI1846" s="2">
        <v>45322</v>
      </c>
      <c r="AJ1846" s="2">
        <v>45289</v>
      </c>
    </row>
    <row r="1847" spans="1:36">
      <c r="A1847" s="1" t="str">
        <f>"Z9D3DDD080"</f>
        <v>Z9D3DDD080</v>
      </c>
      <c r="B1847" s="1" t="str">
        <f t="shared" si="38"/>
        <v>02406911202</v>
      </c>
      <c r="C1847" s="1" t="s">
        <v>13</v>
      </c>
      <c r="D1847" s="1" t="s">
        <v>180</v>
      </c>
      <c r="E1847" s="1" t="s">
        <v>279</v>
      </c>
      <c r="F1847" s="1" t="s">
        <v>158</v>
      </c>
      <c r="G1847" s="1" t="str">
        <f>"02368591208"</f>
        <v>02368591208</v>
      </c>
      <c r="I1847" s="1" t="s">
        <v>760</v>
      </c>
      <c r="L1847" s="1" t="s">
        <v>43</v>
      </c>
      <c r="M1847" s="1">
        <v>5000</v>
      </c>
      <c r="AG1847" s="1">
        <v>0</v>
      </c>
      <c r="AH1847" s="2">
        <v>45280</v>
      </c>
      <c r="AI1847" s="2">
        <v>45657</v>
      </c>
      <c r="AJ1847" s="2">
        <v>45280</v>
      </c>
    </row>
    <row r="1848" spans="1:36">
      <c r="A1848" s="1" t="str">
        <f>"Z9D3DF58B0"</f>
        <v>Z9D3DF58B0</v>
      </c>
      <c r="B1848" s="1" t="str">
        <f t="shared" si="38"/>
        <v>02406911202</v>
      </c>
      <c r="C1848" s="1" t="s">
        <v>13</v>
      </c>
      <c r="D1848" s="1" t="s">
        <v>180</v>
      </c>
      <c r="E1848" s="1" t="s">
        <v>181</v>
      </c>
      <c r="F1848" s="1" t="s">
        <v>158</v>
      </c>
      <c r="H1848" s="1" t="str">
        <f>"152434145"</f>
        <v>152434145</v>
      </c>
      <c r="I1848" s="1" t="s">
        <v>514</v>
      </c>
      <c r="L1848" s="1" t="s">
        <v>43</v>
      </c>
      <c r="M1848" s="1">
        <v>5000</v>
      </c>
      <c r="AG1848" s="1">
        <v>0</v>
      </c>
      <c r="AH1848" s="2">
        <v>45287</v>
      </c>
      <c r="AI1848" s="2">
        <v>45291</v>
      </c>
      <c r="AJ1848" s="2">
        <v>45287</v>
      </c>
    </row>
    <row r="1849" spans="1:36">
      <c r="A1849" s="1" t="str">
        <f>"Z9E3D06D0D"</f>
        <v>Z9E3D06D0D</v>
      </c>
      <c r="B1849" s="1" t="str">
        <f t="shared" si="38"/>
        <v>02406911202</v>
      </c>
      <c r="C1849" s="1" t="s">
        <v>13</v>
      </c>
      <c r="D1849" s="1" t="s">
        <v>180</v>
      </c>
      <c r="E1849" s="1" t="s">
        <v>279</v>
      </c>
      <c r="F1849" s="1" t="s">
        <v>158</v>
      </c>
      <c r="G1849" s="1" t="str">
        <f>"09933630155"</f>
        <v>09933630155</v>
      </c>
      <c r="I1849" s="1" t="s">
        <v>508</v>
      </c>
      <c r="L1849" s="1" t="s">
        <v>43</v>
      </c>
      <c r="M1849" s="1">
        <v>5000</v>
      </c>
      <c r="AG1849" s="1">
        <v>0</v>
      </c>
      <c r="AH1849" s="2">
        <v>45225</v>
      </c>
      <c r="AI1849" s="2">
        <v>45657</v>
      </c>
      <c r="AJ1849" s="2">
        <v>45225</v>
      </c>
    </row>
    <row r="1850" spans="1:36">
      <c r="A1850" s="1" t="str">
        <f>"Z9E3D81AE4"</f>
        <v>Z9E3D81AE4</v>
      </c>
      <c r="B1850" s="1" t="str">
        <f t="shared" si="38"/>
        <v>02406911202</v>
      </c>
      <c r="C1850" s="1" t="s">
        <v>13</v>
      </c>
      <c r="D1850" s="1" t="s">
        <v>180</v>
      </c>
      <c r="E1850" s="1" t="s">
        <v>220</v>
      </c>
      <c r="F1850" s="1" t="s">
        <v>158</v>
      </c>
      <c r="G1850" s="1" t="str">
        <f>"09831040150"</f>
        <v>09831040150</v>
      </c>
      <c r="I1850" s="1" t="s">
        <v>720</v>
      </c>
      <c r="L1850" s="1" t="s">
        <v>43</v>
      </c>
      <c r="M1850" s="1">
        <v>6000</v>
      </c>
      <c r="AG1850" s="1">
        <v>0</v>
      </c>
      <c r="AH1850" s="2">
        <v>45259</v>
      </c>
      <c r="AI1850" s="2">
        <v>45657</v>
      </c>
      <c r="AJ1850" s="2">
        <v>45259</v>
      </c>
    </row>
    <row r="1851" spans="1:36">
      <c r="A1851" s="1" t="str">
        <f>"Z9E3DD08C1"</f>
        <v>Z9E3DD08C1</v>
      </c>
      <c r="B1851" s="1" t="str">
        <f t="shared" si="38"/>
        <v>02406911202</v>
      </c>
      <c r="C1851" s="1" t="s">
        <v>13</v>
      </c>
      <c r="D1851" s="1" t="s">
        <v>264</v>
      </c>
      <c r="E1851" s="1" t="s">
        <v>1905</v>
      </c>
      <c r="F1851" s="1" t="s">
        <v>158</v>
      </c>
      <c r="G1851" s="1" t="str">
        <f>"05131180969"</f>
        <v>05131180969</v>
      </c>
      <c r="I1851" s="1" t="s">
        <v>1215</v>
      </c>
      <c r="L1851" s="1" t="s">
        <v>43</v>
      </c>
      <c r="M1851" s="1">
        <v>32000</v>
      </c>
      <c r="AG1851" s="1">
        <v>0</v>
      </c>
      <c r="AH1851" s="2">
        <v>45278</v>
      </c>
      <c r="AI1851" s="2">
        <v>45290</v>
      </c>
      <c r="AJ1851" s="2">
        <v>45278</v>
      </c>
    </row>
    <row r="1852" spans="1:36">
      <c r="A1852" s="1" t="str">
        <f>"Z9F3C91CA0"</f>
        <v>Z9F3C91CA0</v>
      </c>
      <c r="B1852" s="1" t="str">
        <f t="shared" si="38"/>
        <v>02406911202</v>
      </c>
      <c r="C1852" s="1" t="s">
        <v>13</v>
      </c>
      <c r="D1852" s="1" t="s">
        <v>264</v>
      </c>
      <c r="E1852" s="1" t="s">
        <v>1906</v>
      </c>
      <c r="F1852" s="1" t="s">
        <v>158</v>
      </c>
      <c r="G1852" s="1" t="str">
        <f>"01498810280"</f>
        <v>01498810280</v>
      </c>
      <c r="I1852" s="1" t="s">
        <v>752</v>
      </c>
      <c r="L1852" s="1" t="s">
        <v>43</v>
      </c>
      <c r="M1852" s="1">
        <v>3251.6</v>
      </c>
      <c r="AG1852" s="1">
        <v>0</v>
      </c>
      <c r="AH1852" s="2">
        <v>45194</v>
      </c>
      <c r="AI1852" s="2">
        <v>45198</v>
      </c>
      <c r="AJ1852" s="2">
        <v>45194</v>
      </c>
    </row>
    <row r="1853" spans="1:36">
      <c r="A1853" s="1" t="str">
        <f>"Z9F3CA602E"</f>
        <v>Z9F3CA602E</v>
      </c>
      <c r="B1853" s="1" t="str">
        <f t="shared" si="38"/>
        <v>02406911202</v>
      </c>
      <c r="C1853" s="1" t="s">
        <v>13</v>
      </c>
      <c r="D1853" s="1" t="s">
        <v>180</v>
      </c>
      <c r="E1853" s="1" t="s">
        <v>181</v>
      </c>
      <c r="F1853" s="1" t="s">
        <v>158</v>
      </c>
      <c r="G1853" s="1" t="str">
        <f>"09435330965"</f>
        <v>09435330965</v>
      </c>
      <c r="I1853" s="1" t="s">
        <v>1907</v>
      </c>
      <c r="L1853" s="1" t="s">
        <v>43</v>
      </c>
      <c r="M1853" s="1">
        <v>6000</v>
      </c>
      <c r="AG1853" s="1">
        <v>1980</v>
      </c>
      <c r="AH1853" s="2">
        <v>45198</v>
      </c>
      <c r="AI1853" s="2">
        <v>45657</v>
      </c>
      <c r="AJ1853" s="2">
        <v>45198</v>
      </c>
    </row>
    <row r="1854" spans="1:36">
      <c r="A1854" s="1" t="str">
        <f>"Z9F3CE9B99"</f>
        <v>Z9F3CE9B99</v>
      </c>
      <c r="B1854" s="1" t="str">
        <f t="shared" si="38"/>
        <v>02406911202</v>
      </c>
      <c r="C1854" s="1" t="s">
        <v>13</v>
      </c>
      <c r="D1854" s="1" t="s">
        <v>180</v>
      </c>
      <c r="E1854" s="1" t="s">
        <v>279</v>
      </c>
      <c r="F1854" s="1" t="s">
        <v>158</v>
      </c>
      <c r="G1854" s="1" t="str">
        <f>"13209130155"</f>
        <v>13209130155</v>
      </c>
      <c r="I1854" s="1" t="s">
        <v>293</v>
      </c>
      <c r="L1854" s="1" t="s">
        <v>43</v>
      </c>
      <c r="M1854" s="1">
        <v>5000</v>
      </c>
      <c r="AG1854" s="1">
        <v>2272.12</v>
      </c>
      <c r="AH1854" s="2">
        <v>45218</v>
      </c>
      <c r="AI1854" s="2">
        <v>45291</v>
      </c>
      <c r="AJ1854" s="2">
        <v>45218</v>
      </c>
    </row>
    <row r="1855" spans="1:36">
      <c r="A1855" s="1" t="str">
        <f>"Z9F3D04EED"</f>
        <v>Z9F3D04EED</v>
      </c>
      <c r="B1855" s="1" t="str">
        <f t="shared" si="38"/>
        <v>02406911202</v>
      </c>
      <c r="C1855" s="1" t="s">
        <v>13</v>
      </c>
      <c r="D1855" s="1" t="s">
        <v>186</v>
      </c>
      <c r="E1855" s="1" t="s">
        <v>1908</v>
      </c>
      <c r="F1855" s="1" t="s">
        <v>158</v>
      </c>
      <c r="G1855" s="1" t="str">
        <f>"08075151004"</f>
        <v>08075151004</v>
      </c>
      <c r="I1855" s="1" t="s">
        <v>1909</v>
      </c>
      <c r="L1855" s="1" t="s">
        <v>43</v>
      </c>
      <c r="M1855" s="1">
        <v>5998.8</v>
      </c>
      <c r="AG1855" s="1">
        <v>2885</v>
      </c>
      <c r="AH1855" s="2">
        <v>45225</v>
      </c>
      <c r="AI1855" s="2">
        <v>45657</v>
      </c>
      <c r="AJ1855" s="2">
        <v>45225</v>
      </c>
    </row>
    <row r="1856" spans="1:36">
      <c r="A1856" s="1" t="str">
        <f>"ZA03CE573C"</f>
        <v>ZA03CE573C</v>
      </c>
      <c r="B1856" s="1" t="str">
        <f t="shared" si="38"/>
        <v>02406911202</v>
      </c>
      <c r="C1856" s="1" t="s">
        <v>13</v>
      </c>
      <c r="D1856" s="1" t="s">
        <v>264</v>
      </c>
      <c r="E1856" s="1" t="s">
        <v>1910</v>
      </c>
      <c r="F1856" s="1" t="s">
        <v>158</v>
      </c>
      <c r="G1856" s="1" t="str">
        <f>"05131180969"</f>
        <v>05131180969</v>
      </c>
      <c r="I1856" s="1" t="s">
        <v>1215</v>
      </c>
      <c r="L1856" s="1" t="s">
        <v>43</v>
      </c>
      <c r="M1856" s="1">
        <v>30000</v>
      </c>
      <c r="AG1856" s="1">
        <v>0</v>
      </c>
      <c r="AH1856" s="2">
        <v>45217</v>
      </c>
      <c r="AI1856" s="2">
        <v>45224</v>
      </c>
      <c r="AJ1856" s="2">
        <v>45217</v>
      </c>
    </row>
    <row r="1857" spans="1:36">
      <c r="A1857" s="1" t="str">
        <f>"ZA03D10A77"</f>
        <v>ZA03D10A77</v>
      </c>
      <c r="B1857" s="1" t="str">
        <f t="shared" si="38"/>
        <v>02406911202</v>
      </c>
      <c r="C1857" s="1" t="s">
        <v>13</v>
      </c>
      <c r="D1857" s="1" t="s">
        <v>180</v>
      </c>
      <c r="E1857" s="1" t="s">
        <v>281</v>
      </c>
      <c r="F1857" s="1" t="s">
        <v>158</v>
      </c>
      <c r="G1857" s="1" t="str">
        <f>"09270550016"</f>
        <v>09270550016</v>
      </c>
      <c r="I1857" s="1" t="s">
        <v>406</v>
      </c>
      <c r="L1857" s="1" t="s">
        <v>43</v>
      </c>
      <c r="M1857" s="1">
        <v>5000</v>
      </c>
      <c r="AG1857" s="1">
        <v>5785</v>
      </c>
      <c r="AH1857" s="2">
        <v>45229</v>
      </c>
      <c r="AI1857" s="2">
        <v>45291</v>
      </c>
      <c r="AJ1857" s="2">
        <v>45229</v>
      </c>
    </row>
    <row r="1858" spans="1:36">
      <c r="A1858" s="1" t="str">
        <f>"ZA13CA7D27"</f>
        <v>ZA13CA7D27</v>
      </c>
      <c r="B1858" s="1" t="str">
        <f t="shared" ref="B1858:B1921" si="39">"02406911202"</f>
        <v>02406911202</v>
      </c>
      <c r="C1858" s="1" t="s">
        <v>13</v>
      </c>
      <c r="D1858" s="1" t="s">
        <v>167</v>
      </c>
      <c r="E1858" s="1" t="s">
        <v>1302</v>
      </c>
      <c r="F1858" s="1" t="s">
        <v>151</v>
      </c>
      <c r="G1858" s="1" t="str">
        <f>"00458450012"</f>
        <v>00458450012</v>
      </c>
      <c r="I1858" s="1" t="s">
        <v>1658</v>
      </c>
      <c r="L1858" s="1" t="s">
        <v>43</v>
      </c>
      <c r="M1858" s="1">
        <v>3540</v>
      </c>
      <c r="AG1858" s="1">
        <v>0</v>
      </c>
      <c r="AH1858" s="2">
        <v>45200</v>
      </c>
      <c r="AI1858" s="2">
        <v>45382</v>
      </c>
      <c r="AJ1858" s="2">
        <v>45200</v>
      </c>
    </row>
    <row r="1859" spans="1:36">
      <c r="A1859" s="1" t="str">
        <f>"ZA13D0E093"</f>
        <v>ZA13D0E093</v>
      </c>
      <c r="B1859" s="1" t="str">
        <f t="shared" si="39"/>
        <v>02406911202</v>
      </c>
      <c r="C1859" s="1" t="s">
        <v>13</v>
      </c>
      <c r="D1859" s="1" t="s">
        <v>180</v>
      </c>
      <c r="E1859" s="1" t="s">
        <v>281</v>
      </c>
      <c r="F1859" s="1" t="s">
        <v>158</v>
      </c>
      <c r="G1859" s="1" t="str">
        <f>"07747160153"</f>
        <v>07747160153</v>
      </c>
      <c r="I1859" s="1" t="s">
        <v>446</v>
      </c>
      <c r="L1859" s="1" t="s">
        <v>43</v>
      </c>
      <c r="M1859" s="1">
        <v>6000</v>
      </c>
      <c r="AG1859" s="1">
        <v>5320</v>
      </c>
      <c r="AH1859" s="2">
        <v>45229</v>
      </c>
      <c r="AI1859" s="2">
        <v>45291</v>
      </c>
      <c r="AJ1859" s="2">
        <v>45229</v>
      </c>
    </row>
    <row r="1860" spans="1:36">
      <c r="A1860" s="1" t="str">
        <f>"ZA13D0F625"</f>
        <v>ZA13D0F625</v>
      </c>
      <c r="B1860" s="1" t="str">
        <f t="shared" si="39"/>
        <v>02406911202</v>
      </c>
      <c r="C1860" s="1" t="s">
        <v>13</v>
      </c>
      <c r="D1860" s="1" t="s">
        <v>180</v>
      </c>
      <c r="E1860" s="1" t="s">
        <v>279</v>
      </c>
      <c r="F1860" s="1" t="s">
        <v>158</v>
      </c>
      <c r="G1860" s="1" t="str">
        <f>"12785290151"</f>
        <v>12785290151</v>
      </c>
      <c r="I1860" s="1" t="s">
        <v>284</v>
      </c>
      <c r="L1860" s="1" t="s">
        <v>43</v>
      </c>
      <c r="M1860" s="1">
        <v>5000</v>
      </c>
      <c r="AG1860" s="1">
        <v>2536.1999999999998</v>
      </c>
      <c r="AH1860" s="2">
        <v>45229</v>
      </c>
      <c r="AI1860" s="2">
        <v>45291</v>
      </c>
      <c r="AJ1860" s="2">
        <v>45229</v>
      </c>
    </row>
    <row r="1861" spans="1:36">
      <c r="A1861" s="1" t="str">
        <f>"ZA13D589CE"</f>
        <v>ZA13D589CE</v>
      </c>
      <c r="B1861" s="1" t="str">
        <f t="shared" si="39"/>
        <v>02406911202</v>
      </c>
      <c r="C1861" s="1" t="s">
        <v>13</v>
      </c>
      <c r="D1861" s="1" t="s">
        <v>180</v>
      </c>
      <c r="E1861" s="1" t="s">
        <v>279</v>
      </c>
      <c r="F1861" s="1" t="s">
        <v>158</v>
      </c>
      <c r="G1861" s="1" t="str">
        <f>"12410660158"</f>
        <v>12410660158</v>
      </c>
      <c r="I1861" s="1" t="s">
        <v>1911</v>
      </c>
      <c r="L1861" s="1" t="s">
        <v>43</v>
      </c>
      <c r="M1861" s="1">
        <v>5000</v>
      </c>
      <c r="AG1861" s="1">
        <v>0</v>
      </c>
      <c r="AH1861" s="2">
        <v>45250</v>
      </c>
      <c r="AI1861" s="2">
        <v>45291</v>
      </c>
      <c r="AJ1861" s="2">
        <v>45250</v>
      </c>
    </row>
    <row r="1862" spans="1:36">
      <c r="A1862" s="1" t="str">
        <f>"ZA13D85687"</f>
        <v>ZA13D85687</v>
      </c>
      <c r="B1862" s="1" t="str">
        <f t="shared" si="39"/>
        <v>02406911202</v>
      </c>
      <c r="C1862" s="1" t="s">
        <v>13</v>
      </c>
      <c r="D1862" s="1" t="s">
        <v>186</v>
      </c>
      <c r="E1862" s="1" t="s">
        <v>1912</v>
      </c>
      <c r="F1862" s="1" t="s">
        <v>158</v>
      </c>
      <c r="G1862" s="1" t="str">
        <f>"00919930164"</f>
        <v>00919930164</v>
      </c>
      <c r="I1862" s="1" t="s">
        <v>788</v>
      </c>
      <c r="L1862" s="1" t="s">
        <v>43</v>
      </c>
      <c r="M1862" s="1">
        <v>4999</v>
      </c>
      <c r="AG1862" s="1">
        <v>0</v>
      </c>
      <c r="AH1862" s="2">
        <v>45259</v>
      </c>
      <c r="AI1862" s="2">
        <v>46387</v>
      </c>
      <c r="AJ1862" s="2">
        <v>45259</v>
      </c>
    </row>
    <row r="1863" spans="1:36">
      <c r="A1863" s="1" t="str">
        <f>"ZA23C91E6A"</f>
        <v>ZA23C91E6A</v>
      </c>
      <c r="B1863" s="1" t="str">
        <f t="shared" si="39"/>
        <v>02406911202</v>
      </c>
      <c r="C1863" s="1" t="s">
        <v>13</v>
      </c>
      <c r="D1863" s="1" t="s">
        <v>180</v>
      </c>
      <c r="E1863" s="1" t="s">
        <v>1913</v>
      </c>
      <c r="F1863" s="1" t="s">
        <v>158</v>
      </c>
      <c r="G1863" s="1" t="str">
        <f>"02753411202"</f>
        <v>02753411202</v>
      </c>
      <c r="I1863" s="1" t="s">
        <v>1914</v>
      </c>
      <c r="L1863" s="1" t="s">
        <v>43</v>
      </c>
      <c r="M1863" s="1">
        <v>5000</v>
      </c>
      <c r="AG1863" s="1">
        <v>1752.48</v>
      </c>
      <c r="AH1863" s="2">
        <v>45194</v>
      </c>
      <c r="AI1863" s="2">
        <v>45657</v>
      </c>
      <c r="AJ1863" s="2">
        <v>45194</v>
      </c>
    </row>
    <row r="1864" spans="1:36">
      <c r="A1864" s="1" t="str">
        <f>"ZA23CBA681"</f>
        <v>ZA23CBA681</v>
      </c>
      <c r="B1864" s="1" t="str">
        <f t="shared" si="39"/>
        <v>02406911202</v>
      </c>
      <c r="C1864" s="1" t="s">
        <v>13</v>
      </c>
      <c r="D1864" s="1" t="s">
        <v>167</v>
      </c>
      <c r="E1864" s="1" t="s">
        <v>1915</v>
      </c>
      <c r="F1864" s="1" t="s">
        <v>151</v>
      </c>
      <c r="G1864" s="1" t="str">
        <f>"00228550273"</f>
        <v>00228550273</v>
      </c>
      <c r="I1864" s="1" t="s">
        <v>201</v>
      </c>
      <c r="L1864" s="1" t="s">
        <v>43</v>
      </c>
      <c r="M1864" s="1">
        <v>5041</v>
      </c>
      <c r="AG1864" s="1">
        <v>0</v>
      </c>
      <c r="AH1864" s="2">
        <v>45205</v>
      </c>
      <c r="AI1864" s="2">
        <v>45565</v>
      </c>
      <c r="AJ1864" s="2">
        <v>45205</v>
      </c>
    </row>
    <row r="1865" spans="1:36">
      <c r="A1865" s="1" t="str">
        <f>"ZA23D1672B"</f>
        <v>ZA23D1672B</v>
      </c>
      <c r="B1865" s="1" t="str">
        <f t="shared" si="39"/>
        <v>02406911202</v>
      </c>
      <c r="C1865" s="1" t="s">
        <v>13</v>
      </c>
      <c r="D1865" s="1" t="s">
        <v>186</v>
      </c>
      <c r="E1865" s="1" t="s">
        <v>1916</v>
      </c>
      <c r="F1865" s="1" t="s">
        <v>1917</v>
      </c>
      <c r="G1865" s="1" t="str">
        <f>"04251280378"</f>
        <v>04251280378</v>
      </c>
      <c r="I1865" s="1" t="s">
        <v>1918</v>
      </c>
      <c r="L1865" s="1" t="s">
        <v>43</v>
      </c>
      <c r="M1865" s="1">
        <v>33800</v>
      </c>
      <c r="AG1865" s="1">
        <v>0</v>
      </c>
      <c r="AH1865" s="2">
        <v>45239</v>
      </c>
      <c r="AI1865" s="2">
        <v>45747</v>
      </c>
      <c r="AJ1865" s="2">
        <v>45239</v>
      </c>
    </row>
    <row r="1866" spans="1:36">
      <c r="A1866" s="1" t="str">
        <f>"ZA23D83C53"</f>
        <v>ZA23D83C53</v>
      </c>
      <c r="B1866" s="1" t="str">
        <f t="shared" si="39"/>
        <v>02406911202</v>
      </c>
      <c r="C1866" s="1" t="s">
        <v>13</v>
      </c>
      <c r="D1866" s="1" t="s">
        <v>180</v>
      </c>
      <c r="E1866" s="1" t="s">
        <v>181</v>
      </c>
      <c r="F1866" s="1" t="s">
        <v>158</v>
      </c>
      <c r="G1866" s="1" t="str">
        <f>"02578030153"</f>
        <v>02578030153</v>
      </c>
      <c r="I1866" s="1" t="s">
        <v>1618</v>
      </c>
      <c r="L1866" s="1" t="s">
        <v>43</v>
      </c>
      <c r="M1866" s="1">
        <v>5000</v>
      </c>
      <c r="AG1866" s="1">
        <v>0</v>
      </c>
      <c r="AH1866" s="2">
        <v>45259</v>
      </c>
      <c r="AI1866" s="2">
        <v>45291</v>
      </c>
      <c r="AJ1866" s="2">
        <v>45259</v>
      </c>
    </row>
    <row r="1867" spans="1:36">
      <c r="A1867" s="1" t="str">
        <f>"ZA43CDB1A2"</f>
        <v>ZA43CDB1A2</v>
      </c>
      <c r="B1867" s="1" t="str">
        <f t="shared" si="39"/>
        <v>02406911202</v>
      </c>
      <c r="C1867" s="1" t="s">
        <v>13</v>
      </c>
      <c r="D1867" s="1" t="s">
        <v>177</v>
      </c>
      <c r="E1867" s="1" t="s">
        <v>1919</v>
      </c>
      <c r="F1867" s="1" t="s">
        <v>39</v>
      </c>
      <c r="G1867" s="1" t="str">
        <f>"03607230376"</f>
        <v>03607230376</v>
      </c>
      <c r="I1867" s="1" t="s">
        <v>1920</v>
      </c>
      <c r="L1867" s="1" t="s">
        <v>43</v>
      </c>
      <c r="M1867" s="1">
        <v>20000</v>
      </c>
      <c r="AG1867" s="1">
        <v>0</v>
      </c>
      <c r="AH1867" s="2">
        <v>45200</v>
      </c>
      <c r="AI1867" s="2">
        <v>45291</v>
      </c>
      <c r="AJ1867" s="2">
        <v>45200</v>
      </c>
    </row>
    <row r="1868" spans="1:36">
      <c r="A1868" s="1" t="str">
        <f>"ZA43CE9DED"</f>
        <v>ZA43CE9DED</v>
      </c>
      <c r="B1868" s="1" t="str">
        <f t="shared" si="39"/>
        <v>02406911202</v>
      </c>
      <c r="C1868" s="1" t="s">
        <v>13</v>
      </c>
      <c r="D1868" s="1" t="s">
        <v>180</v>
      </c>
      <c r="E1868" s="1" t="s">
        <v>220</v>
      </c>
      <c r="F1868" s="1" t="s">
        <v>158</v>
      </c>
      <c r="G1868" s="1" t="str">
        <f>"11206730159"</f>
        <v>11206730159</v>
      </c>
      <c r="I1868" s="1" t="s">
        <v>68</v>
      </c>
      <c r="L1868" s="1" t="s">
        <v>43</v>
      </c>
      <c r="M1868" s="1">
        <v>6000</v>
      </c>
      <c r="AG1868" s="1">
        <v>0</v>
      </c>
      <c r="AH1868" s="2">
        <v>45218</v>
      </c>
      <c r="AI1868" s="2">
        <v>45291</v>
      </c>
      <c r="AJ1868" s="2">
        <v>45218</v>
      </c>
    </row>
    <row r="1869" spans="1:36">
      <c r="A1869" s="1" t="str">
        <f>"ZA43D7B29E"</f>
        <v>ZA43D7B29E</v>
      </c>
      <c r="B1869" s="1" t="str">
        <f t="shared" si="39"/>
        <v>02406911202</v>
      </c>
      <c r="C1869" s="1" t="s">
        <v>13</v>
      </c>
      <c r="D1869" s="1" t="s">
        <v>180</v>
      </c>
      <c r="E1869" s="1" t="s">
        <v>281</v>
      </c>
      <c r="F1869" s="1" t="s">
        <v>158</v>
      </c>
      <c r="G1869" s="1" t="str">
        <f>"15685941005"</f>
        <v>15685941005</v>
      </c>
      <c r="I1869" s="1" t="s">
        <v>1495</v>
      </c>
      <c r="L1869" s="1" t="s">
        <v>43</v>
      </c>
      <c r="M1869" s="1">
        <v>6000</v>
      </c>
      <c r="AG1869" s="1">
        <v>0</v>
      </c>
      <c r="AH1869" s="2">
        <v>45260</v>
      </c>
      <c r="AI1869" s="2">
        <v>45291</v>
      </c>
      <c r="AJ1869" s="2">
        <v>45260</v>
      </c>
    </row>
    <row r="1870" spans="1:36">
      <c r="A1870" s="1" t="str">
        <f>"ZA53C88F18"</f>
        <v>ZA53C88F18</v>
      </c>
      <c r="B1870" s="1" t="str">
        <f t="shared" si="39"/>
        <v>02406911202</v>
      </c>
      <c r="C1870" s="1" t="s">
        <v>13</v>
      </c>
      <c r="D1870" s="1" t="s">
        <v>264</v>
      </c>
      <c r="E1870" s="1" t="s">
        <v>1921</v>
      </c>
      <c r="F1870" s="1" t="s">
        <v>158</v>
      </c>
      <c r="G1870" s="1" t="str">
        <f>"01380990380"</f>
        <v>01380990380</v>
      </c>
      <c r="I1870" s="1" t="s">
        <v>1922</v>
      </c>
      <c r="L1870" s="1" t="s">
        <v>43</v>
      </c>
      <c r="M1870" s="1">
        <v>2600</v>
      </c>
      <c r="AG1870" s="1">
        <v>0</v>
      </c>
      <c r="AH1870" s="2">
        <v>45190</v>
      </c>
      <c r="AI1870" s="2">
        <v>45197</v>
      </c>
      <c r="AJ1870" s="2">
        <v>45190</v>
      </c>
    </row>
    <row r="1871" spans="1:36">
      <c r="A1871" s="1" t="str">
        <f>"ZA53CFD30B"</f>
        <v>ZA53CFD30B</v>
      </c>
      <c r="B1871" s="1" t="str">
        <f t="shared" si="39"/>
        <v>02406911202</v>
      </c>
      <c r="C1871" s="1" t="s">
        <v>13</v>
      </c>
      <c r="D1871" s="1" t="s">
        <v>164</v>
      </c>
      <c r="E1871" s="1" t="s">
        <v>1923</v>
      </c>
      <c r="F1871" s="1" t="s">
        <v>158</v>
      </c>
      <c r="G1871" s="1" t="str">
        <f>"01818301200"</f>
        <v>01818301200</v>
      </c>
      <c r="I1871" s="1" t="s">
        <v>1217</v>
      </c>
      <c r="L1871" s="1" t="s">
        <v>43</v>
      </c>
      <c r="M1871" s="1">
        <v>12065</v>
      </c>
      <c r="AG1871" s="1">
        <v>0</v>
      </c>
      <c r="AH1871" s="2">
        <v>45223</v>
      </c>
      <c r="AI1871" s="2">
        <v>45291</v>
      </c>
      <c r="AJ1871" s="2">
        <v>45223</v>
      </c>
    </row>
    <row r="1872" spans="1:36">
      <c r="A1872" s="1" t="str">
        <f>"ZA53D65DAF"</f>
        <v>ZA53D65DAF</v>
      </c>
      <c r="B1872" s="1" t="str">
        <f t="shared" si="39"/>
        <v>02406911202</v>
      </c>
      <c r="C1872" s="1" t="s">
        <v>13</v>
      </c>
      <c r="D1872" s="1" t="s">
        <v>186</v>
      </c>
      <c r="E1872" s="1" t="s">
        <v>1924</v>
      </c>
      <c r="F1872" s="1" t="s">
        <v>158</v>
      </c>
      <c r="G1872" s="1" t="str">
        <f>"00421250481"</f>
        <v>00421250481</v>
      </c>
      <c r="I1872" s="1" t="s">
        <v>1925</v>
      </c>
      <c r="L1872" s="1" t="s">
        <v>43</v>
      </c>
      <c r="M1872" s="1">
        <v>20000</v>
      </c>
      <c r="AG1872" s="1">
        <v>0</v>
      </c>
      <c r="AH1872" s="2">
        <v>45261</v>
      </c>
      <c r="AI1872" s="2">
        <v>45657</v>
      </c>
      <c r="AJ1872" s="2">
        <v>45261</v>
      </c>
    </row>
    <row r="1873" spans="1:36">
      <c r="A1873" s="1" t="str">
        <f>"ZA53E04337"</f>
        <v>ZA53E04337</v>
      </c>
      <c r="B1873" s="1" t="str">
        <f t="shared" si="39"/>
        <v>02406911202</v>
      </c>
      <c r="C1873" s="1" t="s">
        <v>13</v>
      </c>
      <c r="D1873" s="1" t="s">
        <v>186</v>
      </c>
      <c r="E1873" s="1" t="s">
        <v>1926</v>
      </c>
      <c r="F1873" s="1" t="s">
        <v>158</v>
      </c>
      <c r="G1873" s="1" t="str">
        <f>"01865630287"</f>
        <v>01865630287</v>
      </c>
      <c r="I1873" s="1" t="s">
        <v>234</v>
      </c>
      <c r="L1873" s="1" t="s">
        <v>43</v>
      </c>
      <c r="M1873" s="1">
        <v>4999</v>
      </c>
      <c r="AG1873" s="1">
        <v>0</v>
      </c>
      <c r="AH1873" s="2">
        <v>45289</v>
      </c>
      <c r="AI1873" s="2">
        <v>46022</v>
      </c>
      <c r="AJ1873" s="2">
        <v>45289</v>
      </c>
    </row>
    <row r="1874" spans="1:36">
      <c r="A1874" s="1" t="str">
        <f>"ZA63D531EE"</f>
        <v>ZA63D531EE</v>
      </c>
      <c r="B1874" s="1" t="str">
        <f t="shared" si="39"/>
        <v>02406911202</v>
      </c>
      <c r="C1874" s="1" t="s">
        <v>13</v>
      </c>
      <c r="D1874" s="1" t="s">
        <v>186</v>
      </c>
      <c r="E1874" s="1" t="s">
        <v>1927</v>
      </c>
      <c r="F1874" s="1" t="s">
        <v>158</v>
      </c>
      <c r="G1874" s="1" t="str">
        <f>"02287210500"</f>
        <v>02287210500</v>
      </c>
      <c r="I1874" s="1" t="s">
        <v>1928</v>
      </c>
      <c r="L1874" s="1" t="s">
        <v>43</v>
      </c>
      <c r="M1874" s="1">
        <v>4999</v>
      </c>
      <c r="AG1874" s="1">
        <v>0</v>
      </c>
      <c r="AH1874" s="2">
        <v>45247</v>
      </c>
      <c r="AI1874" s="2">
        <v>45613</v>
      </c>
      <c r="AJ1874" s="2">
        <v>45247</v>
      </c>
    </row>
    <row r="1875" spans="1:36">
      <c r="A1875" s="1" t="str">
        <f>"ZA63D700B6"</f>
        <v>ZA63D700B6</v>
      </c>
      <c r="B1875" s="1" t="str">
        <f t="shared" si="39"/>
        <v>02406911202</v>
      </c>
      <c r="C1875" s="1" t="s">
        <v>13</v>
      </c>
      <c r="D1875" s="1" t="s">
        <v>180</v>
      </c>
      <c r="E1875" s="1" t="s">
        <v>281</v>
      </c>
      <c r="F1875" s="1" t="s">
        <v>158</v>
      </c>
      <c r="G1875" s="1" t="str">
        <f>"15685941005"</f>
        <v>15685941005</v>
      </c>
      <c r="I1875" s="1" t="s">
        <v>1495</v>
      </c>
      <c r="L1875" s="1" t="s">
        <v>43</v>
      </c>
      <c r="M1875" s="1">
        <v>6000</v>
      </c>
      <c r="AG1875" s="1">
        <v>0</v>
      </c>
      <c r="AH1875" s="2">
        <v>45254</v>
      </c>
      <c r="AI1875" s="2">
        <v>45291</v>
      </c>
      <c r="AJ1875" s="2">
        <v>45254</v>
      </c>
    </row>
    <row r="1876" spans="1:36">
      <c r="A1876" s="1" t="str">
        <f>"ZA63DBC951"</f>
        <v>ZA63DBC951</v>
      </c>
      <c r="B1876" s="1" t="str">
        <f t="shared" si="39"/>
        <v>02406911202</v>
      </c>
      <c r="C1876" s="1" t="s">
        <v>13</v>
      </c>
      <c r="D1876" s="1" t="s">
        <v>180</v>
      </c>
      <c r="E1876" s="1" t="s">
        <v>220</v>
      </c>
      <c r="F1876" s="1" t="s">
        <v>158</v>
      </c>
      <c r="G1876" s="1" t="str">
        <f>"07862510018"</f>
        <v>07862510018</v>
      </c>
      <c r="I1876" s="1" t="s">
        <v>330</v>
      </c>
      <c r="L1876" s="1" t="s">
        <v>43</v>
      </c>
      <c r="M1876" s="1">
        <v>5000</v>
      </c>
      <c r="AG1876" s="1">
        <v>0</v>
      </c>
      <c r="AH1876" s="2">
        <v>45288</v>
      </c>
      <c r="AI1876" s="2">
        <v>45657</v>
      </c>
      <c r="AJ1876" s="2">
        <v>45288</v>
      </c>
    </row>
    <row r="1877" spans="1:36">
      <c r="A1877" s="1" t="str">
        <f>"ZA73C923AF"</f>
        <v>ZA73C923AF</v>
      </c>
      <c r="B1877" s="1" t="str">
        <f t="shared" si="39"/>
        <v>02406911202</v>
      </c>
      <c r="C1877" s="1" t="s">
        <v>13</v>
      </c>
      <c r="D1877" s="1" t="s">
        <v>186</v>
      </c>
      <c r="E1877" s="1" t="s">
        <v>1929</v>
      </c>
      <c r="F1877" s="1" t="s">
        <v>158</v>
      </c>
      <c r="G1877" s="1" t="str">
        <f>"00202980397"</f>
        <v>00202980397</v>
      </c>
      <c r="I1877" s="1" t="s">
        <v>1930</v>
      </c>
      <c r="L1877" s="1" t="s">
        <v>43</v>
      </c>
      <c r="M1877" s="1">
        <v>4990</v>
      </c>
      <c r="AG1877" s="1">
        <v>571</v>
      </c>
      <c r="AH1877" s="2">
        <v>45194</v>
      </c>
      <c r="AI1877" s="2">
        <v>45291</v>
      </c>
      <c r="AJ1877" s="2">
        <v>45194</v>
      </c>
    </row>
    <row r="1878" spans="1:36">
      <c r="A1878" s="1" t="str">
        <f>"ZA73CCB86C"</f>
        <v>ZA73CCB86C</v>
      </c>
      <c r="B1878" s="1" t="str">
        <f t="shared" si="39"/>
        <v>02406911202</v>
      </c>
      <c r="C1878" s="1" t="s">
        <v>13</v>
      </c>
      <c r="D1878" s="1" t="s">
        <v>180</v>
      </c>
      <c r="E1878" s="1" t="s">
        <v>296</v>
      </c>
      <c r="F1878" s="1" t="s">
        <v>158</v>
      </c>
      <c r="G1878" s="1" t="str">
        <f>"02872560350"</f>
        <v>02872560350</v>
      </c>
      <c r="I1878" s="1" t="s">
        <v>1931</v>
      </c>
      <c r="L1878" s="1" t="s">
        <v>43</v>
      </c>
      <c r="M1878" s="1">
        <v>5000</v>
      </c>
      <c r="AG1878" s="1">
        <v>600</v>
      </c>
      <c r="AH1878" s="2">
        <v>45210</v>
      </c>
      <c r="AI1878" s="2">
        <v>45291</v>
      </c>
      <c r="AJ1878" s="2">
        <v>45210</v>
      </c>
    </row>
    <row r="1879" spans="1:36">
      <c r="A1879" s="1" t="str">
        <f>"ZA73D2C39A"</f>
        <v>ZA73D2C39A</v>
      </c>
      <c r="B1879" s="1" t="str">
        <f t="shared" si="39"/>
        <v>02406911202</v>
      </c>
      <c r="C1879" s="1" t="s">
        <v>13</v>
      </c>
      <c r="D1879" s="1" t="s">
        <v>180</v>
      </c>
      <c r="E1879" s="1" t="s">
        <v>281</v>
      </c>
      <c r="F1879" s="1" t="s">
        <v>158</v>
      </c>
      <c r="G1879" s="1" t="str">
        <f>"07747160153"</f>
        <v>07747160153</v>
      </c>
      <c r="I1879" s="1" t="s">
        <v>446</v>
      </c>
      <c r="L1879" s="1" t="s">
        <v>43</v>
      </c>
      <c r="M1879" s="1">
        <v>6000</v>
      </c>
      <c r="AG1879" s="1">
        <v>0</v>
      </c>
      <c r="AH1879" s="2">
        <v>45238</v>
      </c>
      <c r="AI1879" s="2">
        <v>45291</v>
      </c>
      <c r="AJ1879" s="2">
        <v>45238</v>
      </c>
    </row>
    <row r="1880" spans="1:36">
      <c r="A1880" s="1" t="str">
        <f>"ZA83CB150D"</f>
        <v>ZA83CB150D</v>
      </c>
      <c r="B1880" s="1" t="str">
        <f t="shared" si="39"/>
        <v>02406911202</v>
      </c>
      <c r="C1880" s="1" t="s">
        <v>13</v>
      </c>
      <c r="D1880" s="1" t="s">
        <v>167</v>
      </c>
      <c r="E1880" s="1" t="s">
        <v>1932</v>
      </c>
      <c r="F1880" s="1" t="s">
        <v>151</v>
      </c>
      <c r="G1880" s="1" t="str">
        <f>"02693090033"</f>
        <v>02693090033</v>
      </c>
      <c r="I1880" s="1" t="s">
        <v>1933</v>
      </c>
      <c r="L1880" s="1" t="s">
        <v>43</v>
      </c>
      <c r="M1880" s="1">
        <v>60</v>
      </c>
      <c r="AG1880" s="1">
        <v>0</v>
      </c>
      <c r="AH1880" s="2">
        <v>45215</v>
      </c>
      <c r="AI1880" s="2">
        <v>45945</v>
      </c>
      <c r="AJ1880" s="2">
        <v>45215</v>
      </c>
    </row>
    <row r="1881" spans="1:36">
      <c r="A1881" s="1" t="str">
        <f>"ZA83CC6F28"</f>
        <v>ZA83CC6F28</v>
      </c>
      <c r="B1881" s="1" t="str">
        <f t="shared" si="39"/>
        <v>02406911202</v>
      </c>
      <c r="C1881" s="1" t="s">
        <v>13</v>
      </c>
      <c r="D1881" s="1" t="s">
        <v>180</v>
      </c>
      <c r="E1881" s="1" t="s">
        <v>279</v>
      </c>
      <c r="F1881" s="1" t="s">
        <v>158</v>
      </c>
      <c r="G1881" s="1" t="str">
        <f>"05848611009"</f>
        <v>05848611009</v>
      </c>
      <c r="I1881" s="1" t="s">
        <v>1509</v>
      </c>
      <c r="L1881" s="1" t="s">
        <v>43</v>
      </c>
      <c r="M1881" s="1">
        <v>5000</v>
      </c>
      <c r="AG1881" s="1">
        <v>6000</v>
      </c>
      <c r="AH1881" s="2">
        <v>45209</v>
      </c>
      <c r="AI1881" s="2">
        <v>45291</v>
      </c>
      <c r="AJ1881" s="2">
        <v>45209</v>
      </c>
    </row>
    <row r="1882" spans="1:36">
      <c r="A1882" s="1" t="str">
        <f>"ZA83CE2C4A"</f>
        <v>ZA83CE2C4A</v>
      </c>
      <c r="B1882" s="1" t="str">
        <f t="shared" si="39"/>
        <v>02406911202</v>
      </c>
      <c r="C1882" s="1" t="s">
        <v>13</v>
      </c>
      <c r="D1882" s="1" t="s">
        <v>264</v>
      </c>
      <c r="E1882" s="1" t="s">
        <v>1934</v>
      </c>
      <c r="F1882" s="1" t="s">
        <v>158</v>
      </c>
      <c r="G1882" s="1" t="str">
        <f>"09058160152"</f>
        <v>09058160152</v>
      </c>
      <c r="I1882" s="1" t="s">
        <v>675</v>
      </c>
      <c r="L1882" s="1" t="s">
        <v>43</v>
      </c>
      <c r="M1882" s="1">
        <v>4124</v>
      </c>
      <c r="AG1882" s="1">
        <v>0</v>
      </c>
      <c r="AH1882" s="2">
        <v>45216</v>
      </c>
      <c r="AI1882" s="2">
        <v>45265</v>
      </c>
      <c r="AJ1882" s="2">
        <v>45216</v>
      </c>
    </row>
    <row r="1883" spans="1:36">
      <c r="A1883" s="1" t="str">
        <f>"ZA83D585CF"</f>
        <v>ZA83D585CF</v>
      </c>
      <c r="B1883" s="1" t="str">
        <f t="shared" si="39"/>
        <v>02406911202</v>
      </c>
      <c r="C1883" s="1" t="s">
        <v>13</v>
      </c>
      <c r="D1883" s="1" t="s">
        <v>186</v>
      </c>
      <c r="E1883" s="1" t="s">
        <v>1935</v>
      </c>
      <c r="F1883" s="1" t="s">
        <v>158</v>
      </c>
      <c r="G1883" s="1" t="str">
        <f>"02129190373"</f>
        <v>02129190373</v>
      </c>
      <c r="I1883" s="1" t="s">
        <v>968</v>
      </c>
      <c r="L1883" s="1" t="s">
        <v>43</v>
      </c>
      <c r="M1883" s="1">
        <v>33586</v>
      </c>
      <c r="AG1883" s="1">
        <v>0</v>
      </c>
      <c r="AH1883" s="2">
        <v>45261</v>
      </c>
      <c r="AI1883" s="2">
        <v>45838</v>
      </c>
      <c r="AJ1883" s="2">
        <v>45261</v>
      </c>
    </row>
    <row r="1884" spans="1:36">
      <c r="A1884" s="1" t="str">
        <f>"ZA83DE4A1A"</f>
        <v>ZA83DE4A1A</v>
      </c>
      <c r="B1884" s="1" t="str">
        <f t="shared" si="39"/>
        <v>02406911202</v>
      </c>
      <c r="C1884" s="1" t="s">
        <v>13</v>
      </c>
      <c r="D1884" s="1" t="s">
        <v>186</v>
      </c>
      <c r="E1884" s="1" t="s">
        <v>1936</v>
      </c>
      <c r="F1884" s="1" t="s">
        <v>158</v>
      </c>
      <c r="G1884" s="1" t="str">
        <f>"00440180545"</f>
        <v>00440180545</v>
      </c>
      <c r="I1884" s="1" t="s">
        <v>1049</v>
      </c>
      <c r="L1884" s="1" t="s">
        <v>43</v>
      </c>
      <c r="M1884" s="1">
        <v>4999</v>
      </c>
      <c r="AG1884" s="1">
        <v>0</v>
      </c>
      <c r="AH1884" s="2">
        <v>45281</v>
      </c>
      <c r="AI1884" s="2">
        <v>46022</v>
      </c>
      <c r="AJ1884" s="2">
        <v>45281</v>
      </c>
    </row>
    <row r="1885" spans="1:36">
      <c r="A1885" s="1" t="str">
        <f>"ZA93CF46EF"</f>
        <v>ZA93CF46EF</v>
      </c>
      <c r="B1885" s="1" t="str">
        <f t="shared" si="39"/>
        <v>02406911202</v>
      </c>
      <c r="C1885" s="1" t="s">
        <v>13</v>
      </c>
      <c r="D1885" s="1" t="s">
        <v>180</v>
      </c>
      <c r="E1885" s="1" t="s">
        <v>279</v>
      </c>
      <c r="F1885" s="1" t="s">
        <v>158</v>
      </c>
      <c r="G1885" s="1" t="str">
        <f>"13209130155"</f>
        <v>13209130155</v>
      </c>
      <c r="I1885" s="1" t="s">
        <v>293</v>
      </c>
      <c r="L1885" s="1" t="s">
        <v>43</v>
      </c>
      <c r="M1885" s="1">
        <v>5000</v>
      </c>
      <c r="AG1885" s="1">
        <v>4571.93</v>
      </c>
      <c r="AH1885" s="2">
        <v>45222</v>
      </c>
      <c r="AI1885" s="2">
        <v>45291</v>
      </c>
      <c r="AJ1885" s="2">
        <v>45222</v>
      </c>
    </row>
    <row r="1886" spans="1:36">
      <c r="A1886" s="1" t="str">
        <f>"ZA93D66A87"</f>
        <v>ZA93D66A87</v>
      </c>
      <c r="B1886" s="1" t="str">
        <f t="shared" si="39"/>
        <v>02406911202</v>
      </c>
      <c r="C1886" s="1" t="s">
        <v>13</v>
      </c>
      <c r="D1886" s="1" t="s">
        <v>180</v>
      </c>
      <c r="E1886" s="1" t="s">
        <v>181</v>
      </c>
      <c r="F1886" s="1" t="s">
        <v>158</v>
      </c>
      <c r="G1886" s="1" t="str">
        <f>"00228550273"</f>
        <v>00228550273</v>
      </c>
      <c r="I1886" s="1" t="s">
        <v>201</v>
      </c>
      <c r="L1886" s="1" t="s">
        <v>43</v>
      </c>
      <c r="M1886" s="1">
        <v>6000</v>
      </c>
      <c r="AG1886" s="1">
        <v>0</v>
      </c>
      <c r="AH1886" s="2">
        <v>45252</v>
      </c>
      <c r="AI1886" s="2">
        <v>45291</v>
      </c>
      <c r="AJ1886" s="2">
        <v>45252</v>
      </c>
    </row>
    <row r="1887" spans="1:36">
      <c r="A1887" s="1" t="str">
        <f>"ZA93DBD0FD"</f>
        <v>ZA93DBD0FD</v>
      </c>
      <c r="B1887" s="1" t="str">
        <f t="shared" si="39"/>
        <v>02406911202</v>
      </c>
      <c r="C1887" s="1" t="s">
        <v>13</v>
      </c>
      <c r="D1887" s="1" t="s">
        <v>180</v>
      </c>
      <c r="E1887" s="1" t="s">
        <v>281</v>
      </c>
      <c r="F1887" s="1" t="s">
        <v>158</v>
      </c>
      <c r="G1887" s="1" t="str">
        <f>"10517560156"</f>
        <v>10517560156</v>
      </c>
      <c r="I1887" s="1" t="s">
        <v>333</v>
      </c>
      <c r="L1887" s="1" t="s">
        <v>43</v>
      </c>
      <c r="M1887" s="1">
        <v>6000</v>
      </c>
      <c r="AG1887" s="1">
        <v>0</v>
      </c>
      <c r="AH1887" s="2">
        <v>45278</v>
      </c>
      <c r="AI1887" s="2">
        <v>45291</v>
      </c>
      <c r="AJ1887" s="2">
        <v>45278</v>
      </c>
    </row>
    <row r="1888" spans="1:36">
      <c r="A1888" s="1" t="str">
        <f>"ZAA3D4818B"</f>
        <v>ZAA3D4818B</v>
      </c>
      <c r="B1888" s="1" t="str">
        <f t="shared" si="39"/>
        <v>02406911202</v>
      </c>
      <c r="C1888" s="1" t="s">
        <v>13</v>
      </c>
      <c r="D1888" s="1" t="s">
        <v>180</v>
      </c>
      <c r="E1888" s="1" t="s">
        <v>279</v>
      </c>
      <c r="F1888" s="1" t="s">
        <v>158</v>
      </c>
      <c r="G1888" s="1" t="str">
        <f>"05848611009"</f>
        <v>05848611009</v>
      </c>
      <c r="I1888" s="1" t="s">
        <v>1509</v>
      </c>
      <c r="L1888" s="1" t="s">
        <v>43</v>
      </c>
      <c r="M1888" s="1">
        <v>5000</v>
      </c>
      <c r="AG1888" s="1">
        <v>0</v>
      </c>
      <c r="AH1888" s="2">
        <v>45245</v>
      </c>
      <c r="AI1888" s="2">
        <v>45291</v>
      </c>
      <c r="AJ1888" s="2">
        <v>45245</v>
      </c>
    </row>
    <row r="1889" spans="1:36">
      <c r="A1889" s="1" t="str">
        <f>"ZAA3DA704A"</f>
        <v>ZAA3DA704A</v>
      </c>
      <c r="B1889" s="1" t="str">
        <f t="shared" si="39"/>
        <v>02406911202</v>
      </c>
      <c r="C1889" s="1" t="s">
        <v>13</v>
      </c>
      <c r="D1889" s="1" t="s">
        <v>177</v>
      </c>
      <c r="E1889" s="1" t="s">
        <v>1937</v>
      </c>
      <c r="F1889" s="1" t="s">
        <v>39</v>
      </c>
      <c r="G1889" s="1" t="str">
        <f>"04144000371"</f>
        <v>04144000371</v>
      </c>
      <c r="I1889" s="1" t="s">
        <v>256</v>
      </c>
      <c r="L1889" s="1" t="s">
        <v>43</v>
      </c>
      <c r="M1889" s="1">
        <v>30000</v>
      </c>
      <c r="AG1889" s="1">
        <v>0</v>
      </c>
      <c r="AH1889" s="2">
        <v>45219</v>
      </c>
      <c r="AI1889" s="2">
        <v>45291</v>
      </c>
      <c r="AJ1889" s="2">
        <v>45219</v>
      </c>
    </row>
    <row r="1890" spans="1:36">
      <c r="A1890" s="1" t="str">
        <f>"ZAB3C8B6F3"</f>
        <v>ZAB3C8B6F3</v>
      </c>
      <c r="B1890" s="1" t="str">
        <f t="shared" si="39"/>
        <v>02406911202</v>
      </c>
      <c r="C1890" s="1" t="s">
        <v>13</v>
      </c>
      <c r="D1890" s="1" t="s">
        <v>180</v>
      </c>
      <c r="E1890" s="1" t="s">
        <v>244</v>
      </c>
      <c r="F1890" s="1" t="s">
        <v>158</v>
      </c>
      <c r="G1890" s="1" t="str">
        <f>"07862510018"</f>
        <v>07862510018</v>
      </c>
      <c r="I1890" s="1" t="s">
        <v>330</v>
      </c>
      <c r="L1890" s="1" t="s">
        <v>43</v>
      </c>
      <c r="M1890" s="1">
        <v>6000</v>
      </c>
      <c r="AG1890" s="1">
        <v>4650</v>
      </c>
      <c r="AH1890" s="2">
        <v>45194</v>
      </c>
      <c r="AI1890" s="2">
        <v>45291</v>
      </c>
      <c r="AJ1890" s="2">
        <v>45194</v>
      </c>
    </row>
    <row r="1891" spans="1:36">
      <c r="A1891" s="1" t="str">
        <f>"ZAB3CEA4B7"</f>
        <v>ZAB3CEA4B7</v>
      </c>
      <c r="B1891" s="1" t="str">
        <f t="shared" si="39"/>
        <v>02406911202</v>
      </c>
      <c r="C1891" s="1" t="s">
        <v>13</v>
      </c>
      <c r="D1891" s="1" t="s">
        <v>180</v>
      </c>
      <c r="E1891" s="1" t="s">
        <v>185</v>
      </c>
      <c r="F1891" s="1" t="s">
        <v>158</v>
      </c>
      <c r="G1891" s="1" t="str">
        <f>"11654150157"</f>
        <v>11654150157</v>
      </c>
      <c r="I1891" s="1" t="s">
        <v>263</v>
      </c>
      <c r="L1891" s="1" t="s">
        <v>43</v>
      </c>
      <c r="M1891" s="1">
        <v>5000</v>
      </c>
      <c r="AG1891" s="1">
        <v>2030</v>
      </c>
      <c r="AH1891" s="2">
        <v>45218</v>
      </c>
      <c r="AI1891" s="2">
        <v>45291</v>
      </c>
      <c r="AJ1891" s="2">
        <v>45218</v>
      </c>
    </row>
    <row r="1892" spans="1:36">
      <c r="A1892" s="1" t="str">
        <f>"ZAB3D966DA"</f>
        <v>ZAB3D966DA</v>
      </c>
      <c r="B1892" s="1" t="str">
        <f t="shared" si="39"/>
        <v>02406911202</v>
      </c>
      <c r="C1892" s="1" t="s">
        <v>13</v>
      </c>
      <c r="D1892" s="1" t="s">
        <v>180</v>
      </c>
      <c r="E1892" s="1" t="s">
        <v>181</v>
      </c>
      <c r="F1892" s="1" t="s">
        <v>158</v>
      </c>
      <c r="G1892" s="1" t="str">
        <f>"01286700487"</f>
        <v>01286700487</v>
      </c>
      <c r="I1892" s="1" t="s">
        <v>652</v>
      </c>
      <c r="L1892" s="1" t="s">
        <v>43</v>
      </c>
      <c r="M1892" s="1">
        <v>5000</v>
      </c>
      <c r="AG1892" s="1">
        <v>0</v>
      </c>
      <c r="AH1892" s="2">
        <v>45264</v>
      </c>
      <c r="AI1892" s="2">
        <v>45291</v>
      </c>
      <c r="AJ1892" s="2">
        <v>45264</v>
      </c>
    </row>
    <row r="1893" spans="1:36">
      <c r="A1893" s="1" t="str">
        <f>"ZAC3CB1912"</f>
        <v>ZAC3CB1912</v>
      </c>
      <c r="B1893" s="1" t="str">
        <f t="shared" si="39"/>
        <v>02406911202</v>
      </c>
      <c r="C1893" s="1" t="s">
        <v>13</v>
      </c>
      <c r="D1893" s="1" t="s">
        <v>167</v>
      </c>
      <c r="E1893" s="1" t="s">
        <v>1938</v>
      </c>
      <c r="F1893" s="1" t="s">
        <v>151</v>
      </c>
      <c r="H1893" s="1" t="str">
        <f>"152434145"</f>
        <v>152434145</v>
      </c>
      <c r="I1893" s="1" t="s">
        <v>514</v>
      </c>
      <c r="L1893" s="1" t="s">
        <v>43</v>
      </c>
      <c r="M1893" s="1">
        <v>16920</v>
      </c>
      <c r="AG1893" s="1">
        <v>0</v>
      </c>
      <c r="AH1893" s="2">
        <v>45215</v>
      </c>
      <c r="AI1893" s="2">
        <v>45945</v>
      </c>
      <c r="AJ1893" s="2">
        <v>45215</v>
      </c>
    </row>
    <row r="1894" spans="1:36">
      <c r="A1894" s="1" t="str">
        <f>"ZAC3CB1A0D"</f>
        <v>ZAC3CB1A0D</v>
      </c>
      <c r="B1894" s="1" t="str">
        <f t="shared" si="39"/>
        <v>02406911202</v>
      </c>
      <c r="C1894" s="1" t="s">
        <v>13</v>
      </c>
      <c r="D1894" s="1" t="s">
        <v>167</v>
      </c>
      <c r="E1894" s="1" t="s">
        <v>1939</v>
      </c>
      <c r="F1894" s="1" t="s">
        <v>151</v>
      </c>
      <c r="G1894" s="1" t="str">
        <f>"02457060032"</f>
        <v>02457060032</v>
      </c>
      <c r="I1894" s="1" t="s">
        <v>320</v>
      </c>
      <c r="L1894" s="1" t="s">
        <v>43</v>
      </c>
      <c r="M1894" s="1">
        <v>12900</v>
      </c>
      <c r="AG1894" s="1">
        <v>0</v>
      </c>
      <c r="AH1894" s="2">
        <v>45215</v>
      </c>
      <c r="AI1894" s="2">
        <v>45945</v>
      </c>
      <c r="AJ1894" s="2">
        <v>45215</v>
      </c>
    </row>
    <row r="1895" spans="1:36">
      <c r="A1895" s="1" t="str">
        <f>"ZAC3CB1DF9"</f>
        <v>ZAC3CB1DF9</v>
      </c>
      <c r="B1895" s="1" t="str">
        <f t="shared" si="39"/>
        <v>02406911202</v>
      </c>
      <c r="C1895" s="1" t="s">
        <v>13</v>
      </c>
      <c r="D1895" s="1" t="s">
        <v>167</v>
      </c>
      <c r="E1895" s="1" t="s">
        <v>1940</v>
      </c>
      <c r="F1895" s="1" t="s">
        <v>151</v>
      </c>
      <c r="G1895" s="1" t="str">
        <f>"02256250446"</f>
        <v>02256250446</v>
      </c>
      <c r="I1895" s="1" t="s">
        <v>403</v>
      </c>
      <c r="L1895" s="1" t="s">
        <v>43</v>
      </c>
      <c r="M1895" s="1">
        <v>720</v>
      </c>
      <c r="AG1895" s="1">
        <v>0</v>
      </c>
      <c r="AH1895" s="2">
        <v>45215</v>
      </c>
      <c r="AI1895" s="2">
        <v>45945</v>
      </c>
      <c r="AJ1895" s="2">
        <v>45215</v>
      </c>
    </row>
    <row r="1896" spans="1:36">
      <c r="A1896" s="1" t="str">
        <f>"ZAC3CBB4F7"</f>
        <v>ZAC3CBB4F7</v>
      </c>
      <c r="B1896" s="1" t="str">
        <f t="shared" si="39"/>
        <v>02406911202</v>
      </c>
      <c r="C1896" s="1" t="s">
        <v>13</v>
      </c>
      <c r="D1896" s="1" t="s">
        <v>180</v>
      </c>
      <c r="E1896" s="1" t="s">
        <v>296</v>
      </c>
      <c r="F1896" s="1" t="s">
        <v>158</v>
      </c>
      <c r="G1896" s="1" t="str">
        <f>"00803890151"</f>
        <v>00803890151</v>
      </c>
      <c r="I1896" s="1" t="s">
        <v>104</v>
      </c>
      <c r="L1896" s="1" t="s">
        <v>43</v>
      </c>
      <c r="M1896" s="1">
        <v>5000</v>
      </c>
      <c r="AG1896" s="1">
        <v>6040.4</v>
      </c>
      <c r="AH1896" s="2">
        <v>45204</v>
      </c>
      <c r="AI1896" s="2">
        <v>45291</v>
      </c>
      <c r="AJ1896" s="2">
        <v>45204</v>
      </c>
    </row>
    <row r="1897" spans="1:36">
      <c r="A1897" s="1" t="str">
        <f>"ZAC3CC8BB0"</f>
        <v>ZAC3CC8BB0</v>
      </c>
      <c r="B1897" s="1" t="str">
        <f t="shared" si="39"/>
        <v>02406911202</v>
      </c>
      <c r="C1897" s="1" t="s">
        <v>13</v>
      </c>
      <c r="D1897" s="1" t="s">
        <v>180</v>
      </c>
      <c r="E1897" s="1" t="s">
        <v>281</v>
      </c>
      <c r="F1897" s="1" t="s">
        <v>158</v>
      </c>
      <c r="G1897" s="1" t="str">
        <f>"04289840268"</f>
        <v>04289840268</v>
      </c>
      <c r="I1897" s="1" t="s">
        <v>302</v>
      </c>
      <c r="L1897" s="1" t="s">
        <v>43</v>
      </c>
      <c r="M1897" s="1">
        <v>6000</v>
      </c>
      <c r="AG1897" s="1">
        <v>3367.2</v>
      </c>
      <c r="AH1897" s="2">
        <v>45209</v>
      </c>
      <c r="AI1897" s="2">
        <v>45291</v>
      </c>
      <c r="AJ1897" s="2">
        <v>45209</v>
      </c>
    </row>
    <row r="1898" spans="1:36">
      <c r="A1898" s="1" t="str">
        <f>"ZAC3CD5D82"</f>
        <v>ZAC3CD5D82</v>
      </c>
      <c r="B1898" s="1" t="str">
        <f t="shared" si="39"/>
        <v>02406911202</v>
      </c>
      <c r="C1898" s="1" t="s">
        <v>13</v>
      </c>
      <c r="D1898" s="1" t="s">
        <v>180</v>
      </c>
      <c r="E1898" s="1" t="s">
        <v>281</v>
      </c>
      <c r="F1898" s="1" t="s">
        <v>158</v>
      </c>
      <c r="G1898" s="1" t="str">
        <f>"02417881204"</f>
        <v>02417881204</v>
      </c>
      <c r="I1898" s="1" t="s">
        <v>328</v>
      </c>
      <c r="L1898" s="1" t="s">
        <v>43</v>
      </c>
      <c r="M1898" s="1">
        <v>6000</v>
      </c>
      <c r="AG1898" s="1">
        <v>3580</v>
      </c>
      <c r="AH1898" s="2">
        <v>45212</v>
      </c>
      <c r="AI1898" s="2">
        <v>45291</v>
      </c>
      <c r="AJ1898" s="2">
        <v>45212</v>
      </c>
    </row>
    <row r="1899" spans="1:36">
      <c r="A1899" s="1" t="str">
        <f>"ZAC3DC1573"</f>
        <v>ZAC3DC1573</v>
      </c>
      <c r="B1899" s="1" t="str">
        <f t="shared" si="39"/>
        <v>02406911202</v>
      </c>
      <c r="C1899" s="1" t="s">
        <v>13</v>
      </c>
      <c r="D1899" s="1" t="s">
        <v>167</v>
      </c>
      <c r="E1899" s="1" t="s">
        <v>1941</v>
      </c>
      <c r="F1899" s="1" t="s">
        <v>158</v>
      </c>
      <c r="G1899" s="1" t="str">
        <f>"04705810150"</f>
        <v>04705810150</v>
      </c>
      <c r="I1899" s="1" t="s">
        <v>1627</v>
      </c>
      <c r="L1899" s="1" t="s">
        <v>43</v>
      </c>
      <c r="M1899" s="1">
        <v>900</v>
      </c>
      <c r="AG1899" s="1">
        <v>0</v>
      </c>
      <c r="AH1899" s="2">
        <v>45279</v>
      </c>
      <c r="AI1899" s="2">
        <v>45291</v>
      </c>
      <c r="AJ1899" s="2">
        <v>45279</v>
      </c>
    </row>
    <row r="1900" spans="1:36">
      <c r="A1900" s="1" t="str">
        <f>"ZAE3CC178D"</f>
        <v>ZAE3CC178D</v>
      </c>
      <c r="B1900" s="1" t="str">
        <f t="shared" si="39"/>
        <v>02406911202</v>
      </c>
      <c r="C1900" s="1" t="s">
        <v>13</v>
      </c>
      <c r="D1900" s="1" t="s">
        <v>180</v>
      </c>
      <c r="E1900" s="1" t="s">
        <v>281</v>
      </c>
      <c r="F1900" s="1" t="s">
        <v>158</v>
      </c>
      <c r="G1900" s="1" t="str">
        <f>"10517560156"</f>
        <v>10517560156</v>
      </c>
      <c r="I1900" s="1" t="s">
        <v>333</v>
      </c>
      <c r="L1900" s="1" t="s">
        <v>43</v>
      </c>
      <c r="M1900" s="1">
        <v>6000</v>
      </c>
      <c r="AG1900" s="1">
        <v>3149.18</v>
      </c>
      <c r="AH1900" s="2">
        <v>45208</v>
      </c>
      <c r="AI1900" s="2">
        <v>45291</v>
      </c>
      <c r="AJ1900" s="2">
        <v>45208</v>
      </c>
    </row>
    <row r="1901" spans="1:36">
      <c r="A1901" s="1" t="str">
        <f>"ZAE3CF4D2F"</f>
        <v>ZAE3CF4D2F</v>
      </c>
      <c r="B1901" s="1" t="str">
        <f t="shared" si="39"/>
        <v>02406911202</v>
      </c>
      <c r="C1901" s="1" t="s">
        <v>13</v>
      </c>
      <c r="D1901" s="1" t="s">
        <v>180</v>
      </c>
      <c r="E1901" s="1" t="s">
        <v>220</v>
      </c>
      <c r="F1901" s="1" t="s">
        <v>158</v>
      </c>
      <c r="G1901" s="1" t="str">
        <f>"07093190960"</f>
        <v>07093190960</v>
      </c>
      <c r="I1901" s="1" t="s">
        <v>482</v>
      </c>
      <c r="L1901" s="1" t="s">
        <v>43</v>
      </c>
      <c r="M1901" s="1">
        <v>6000</v>
      </c>
      <c r="AG1901" s="1">
        <v>0</v>
      </c>
      <c r="AH1901" s="2">
        <v>45233</v>
      </c>
      <c r="AI1901" s="2">
        <v>45291</v>
      </c>
      <c r="AJ1901" s="2">
        <v>45233</v>
      </c>
    </row>
    <row r="1902" spans="1:36">
      <c r="A1902" s="1" t="str">
        <f>"ZAE3D41F98"</f>
        <v>ZAE3D41F98</v>
      </c>
      <c r="B1902" s="1" t="str">
        <f t="shared" si="39"/>
        <v>02406911202</v>
      </c>
      <c r="C1902" s="1" t="s">
        <v>13</v>
      </c>
      <c r="D1902" s="1" t="s">
        <v>180</v>
      </c>
      <c r="E1902" s="1" t="s">
        <v>220</v>
      </c>
      <c r="F1902" s="1" t="s">
        <v>158</v>
      </c>
      <c r="G1902" s="1" t="str">
        <f>"07862510018"</f>
        <v>07862510018</v>
      </c>
      <c r="I1902" s="1" t="s">
        <v>330</v>
      </c>
      <c r="L1902" s="1" t="s">
        <v>43</v>
      </c>
      <c r="M1902" s="1">
        <v>6000</v>
      </c>
      <c r="AG1902" s="1">
        <v>0</v>
      </c>
      <c r="AH1902" s="2">
        <v>45245</v>
      </c>
      <c r="AI1902" s="2">
        <v>45657</v>
      </c>
      <c r="AJ1902" s="2">
        <v>45245</v>
      </c>
    </row>
    <row r="1903" spans="1:36">
      <c r="A1903" s="1" t="str">
        <f>"ZAE3DE6D0E"</f>
        <v>ZAE3DE6D0E</v>
      </c>
      <c r="B1903" s="1" t="str">
        <f t="shared" si="39"/>
        <v>02406911202</v>
      </c>
      <c r="C1903" s="1" t="s">
        <v>13</v>
      </c>
      <c r="D1903" s="1" t="s">
        <v>167</v>
      </c>
      <c r="E1903" s="1" t="s">
        <v>1942</v>
      </c>
      <c r="F1903" s="1" t="s">
        <v>158</v>
      </c>
      <c r="G1903" s="1" t="str">
        <f>"11484370967"</f>
        <v>11484370967</v>
      </c>
      <c r="I1903" s="1" t="s">
        <v>1754</v>
      </c>
      <c r="L1903" s="1" t="s">
        <v>43</v>
      </c>
      <c r="M1903" s="1">
        <v>200</v>
      </c>
      <c r="AG1903" s="1">
        <v>0</v>
      </c>
      <c r="AH1903" s="2">
        <v>45281</v>
      </c>
      <c r="AI1903" s="2">
        <v>45291</v>
      </c>
      <c r="AJ1903" s="2">
        <v>45281</v>
      </c>
    </row>
    <row r="1904" spans="1:36">
      <c r="A1904" s="1" t="str">
        <f>"ZAF3C8B70C"</f>
        <v>ZAF3C8B70C</v>
      </c>
      <c r="B1904" s="1" t="str">
        <f t="shared" si="39"/>
        <v>02406911202</v>
      </c>
      <c r="C1904" s="1" t="s">
        <v>13</v>
      </c>
      <c r="D1904" s="1" t="s">
        <v>180</v>
      </c>
      <c r="E1904" s="1" t="s">
        <v>244</v>
      </c>
      <c r="F1904" s="1" t="s">
        <v>158</v>
      </c>
      <c r="G1904" s="1" t="str">
        <f>"03597020373"</f>
        <v>03597020373</v>
      </c>
      <c r="I1904" s="1" t="s">
        <v>254</v>
      </c>
      <c r="L1904" s="1" t="s">
        <v>43</v>
      </c>
      <c r="M1904" s="1">
        <v>6000</v>
      </c>
      <c r="AG1904" s="1">
        <v>5824</v>
      </c>
      <c r="AH1904" s="2">
        <v>45197</v>
      </c>
      <c r="AI1904" s="2">
        <v>45291</v>
      </c>
      <c r="AJ1904" s="2">
        <v>45197</v>
      </c>
    </row>
    <row r="1905" spans="1:36">
      <c r="A1905" s="1" t="str">
        <f>"ZAF3CC7010"</f>
        <v>ZAF3CC7010</v>
      </c>
      <c r="B1905" s="1" t="str">
        <f t="shared" si="39"/>
        <v>02406911202</v>
      </c>
      <c r="C1905" s="1" t="s">
        <v>13</v>
      </c>
      <c r="D1905" s="1" t="s">
        <v>180</v>
      </c>
      <c r="E1905" s="1" t="s">
        <v>279</v>
      </c>
      <c r="F1905" s="1" t="s">
        <v>158</v>
      </c>
      <c r="G1905" s="1" t="str">
        <f>"05848611009"</f>
        <v>05848611009</v>
      </c>
      <c r="I1905" s="1" t="s">
        <v>1509</v>
      </c>
      <c r="L1905" s="1" t="s">
        <v>43</v>
      </c>
      <c r="M1905" s="1">
        <v>5000</v>
      </c>
      <c r="AG1905" s="1">
        <v>0</v>
      </c>
      <c r="AH1905" s="2">
        <v>45209</v>
      </c>
      <c r="AI1905" s="2">
        <v>45230</v>
      </c>
      <c r="AJ1905" s="2">
        <v>45209</v>
      </c>
    </row>
    <row r="1906" spans="1:36">
      <c r="A1906" s="1" t="str">
        <f>"ZAF3CD78CA"</f>
        <v>ZAF3CD78CA</v>
      </c>
      <c r="B1906" s="1" t="str">
        <f t="shared" si="39"/>
        <v>02406911202</v>
      </c>
      <c r="C1906" s="1" t="s">
        <v>13</v>
      </c>
      <c r="D1906" s="1" t="s">
        <v>180</v>
      </c>
      <c r="E1906" s="1" t="s">
        <v>279</v>
      </c>
      <c r="F1906" s="1" t="s">
        <v>158</v>
      </c>
      <c r="G1906" s="1" t="str">
        <f>"07484470153"</f>
        <v>07484470153</v>
      </c>
      <c r="I1906" s="1" t="s">
        <v>702</v>
      </c>
      <c r="L1906" s="1" t="s">
        <v>43</v>
      </c>
      <c r="M1906" s="1">
        <v>5000</v>
      </c>
      <c r="AG1906" s="1">
        <v>1650</v>
      </c>
      <c r="AH1906" s="2">
        <v>45212</v>
      </c>
      <c r="AI1906" s="2">
        <v>45291</v>
      </c>
      <c r="AJ1906" s="2">
        <v>45212</v>
      </c>
    </row>
    <row r="1907" spans="1:36">
      <c r="A1907" s="1" t="str">
        <f>"ZB03CF2972"</f>
        <v>ZB03CF2972</v>
      </c>
      <c r="B1907" s="1" t="str">
        <f t="shared" si="39"/>
        <v>02406911202</v>
      </c>
      <c r="C1907" s="1" t="s">
        <v>13</v>
      </c>
      <c r="D1907" s="1" t="s">
        <v>180</v>
      </c>
      <c r="E1907" s="1" t="s">
        <v>281</v>
      </c>
      <c r="F1907" s="1" t="s">
        <v>158</v>
      </c>
      <c r="G1907" s="1" t="str">
        <f>"12572900152"</f>
        <v>12572900152</v>
      </c>
      <c r="I1907" s="1" t="s">
        <v>335</v>
      </c>
      <c r="L1907" s="1" t="s">
        <v>43</v>
      </c>
      <c r="M1907" s="1">
        <v>6000</v>
      </c>
      <c r="AG1907" s="1">
        <v>674</v>
      </c>
      <c r="AH1907" s="2">
        <v>45219</v>
      </c>
      <c r="AI1907" s="2">
        <v>45291</v>
      </c>
      <c r="AJ1907" s="2">
        <v>45219</v>
      </c>
    </row>
    <row r="1908" spans="1:36">
      <c r="A1908" s="1" t="str">
        <f>"ZB03D2E953"</f>
        <v>ZB03D2E953</v>
      </c>
      <c r="B1908" s="1" t="str">
        <f t="shared" si="39"/>
        <v>02406911202</v>
      </c>
      <c r="C1908" s="1" t="s">
        <v>13</v>
      </c>
      <c r="D1908" s="1" t="s">
        <v>177</v>
      </c>
      <c r="E1908" s="1" t="s">
        <v>1943</v>
      </c>
      <c r="F1908" s="1" t="s">
        <v>158</v>
      </c>
      <c r="G1908" s="1" t="str">
        <f>"01876160407"</f>
        <v>01876160407</v>
      </c>
      <c r="I1908" s="1" t="s">
        <v>1944</v>
      </c>
      <c r="L1908" s="1" t="s">
        <v>43</v>
      </c>
      <c r="M1908" s="1">
        <v>86000</v>
      </c>
      <c r="AG1908" s="1">
        <v>0</v>
      </c>
      <c r="AH1908" s="2">
        <v>45231</v>
      </c>
      <c r="AI1908" s="2">
        <v>45961</v>
      </c>
      <c r="AJ1908" s="2">
        <v>45231</v>
      </c>
    </row>
    <row r="1909" spans="1:36">
      <c r="A1909" s="1" t="str">
        <f>"ZB13D2BD79"</f>
        <v>ZB13D2BD79</v>
      </c>
      <c r="B1909" s="1" t="str">
        <f t="shared" si="39"/>
        <v>02406911202</v>
      </c>
      <c r="C1909" s="1" t="s">
        <v>13</v>
      </c>
      <c r="D1909" s="1" t="s">
        <v>180</v>
      </c>
      <c r="E1909" s="1" t="s">
        <v>281</v>
      </c>
      <c r="F1909" s="1" t="s">
        <v>158</v>
      </c>
      <c r="G1909" s="1" t="str">
        <f>"08082461008"</f>
        <v>08082461008</v>
      </c>
      <c r="I1909" s="1" t="s">
        <v>88</v>
      </c>
      <c r="L1909" s="1" t="s">
        <v>43</v>
      </c>
      <c r="M1909" s="1">
        <v>6000</v>
      </c>
      <c r="AG1909" s="1">
        <v>0</v>
      </c>
      <c r="AH1909" s="2">
        <v>45238</v>
      </c>
      <c r="AI1909" s="2">
        <v>45291</v>
      </c>
      <c r="AJ1909" s="2">
        <v>45238</v>
      </c>
    </row>
    <row r="1910" spans="1:36">
      <c r="A1910" s="1" t="str">
        <f>"ZB13D3D8D4"</f>
        <v>ZB13D3D8D4</v>
      </c>
      <c r="B1910" s="1" t="str">
        <f t="shared" si="39"/>
        <v>02406911202</v>
      </c>
      <c r="C1910" s="1" t="s">
        <v>13</v>
      </c>
      <c r="D1910" s="1" t="s">
        <v>180</v>
      </c>
      <c r="E1910" s="1" t="s">
        <v>315</v>
      </c>
      <c r="F1910" s="1" t="s">
        <v>158</v>
      </c>
      <c r="G1910" s="1" t="str">
        <f>"11667890153"</f>
        <v>11667890153</v>
      </c>
      <c r="I1910" s="1" t="s">
        <v>224</v>
      </c>
      <c r="L1910" s="1" t="s">
        <v>43</v>
      </c>
      <c r="M1910" s="1">
        <v>6000</v>
      </c>
      <c r="AG1910" s="1">
        <v>0</v>
      </c>
      <c r="AH1910" s="2">
        <v>45243</v>
      </c>
      <c r="AI1910" s="2">
        <v>45657</v>
      </c>
      <c r="AJ1910" s="2">
        <v>45243</v>
      </c>
    </row>
    <row r="1911" spans="1:36">
      <c r="A1911" s="1" t="str">
        <f>"ZB13D4574F"</f>
        <v>ZB13D4574F</v>
      </c>
      <c r="B1911" s="1" t="str">
        <f t="shared" si="39"/>
        <v>02406911202</v>
      </c>
      <c r="C1911" s="1" t="s">
        <v>13</v>
      </c>
      <c r="D1911" s="1" t="s">
        <v>177</v>
      </c>
      <c r="E1911" s="1" t="s">
        <v>1945</v>
      </c>
      <c r="F1911" s="1" t="s">
        <v>158</v>
      </c>
      <c r="G1911" s="1" t="str">
        <f>"92024710375"</f>
        <v>92024710375</v>
      </c>
      <c r="I1911" s="1" t="s">
        <v>1946</v>
      </c>
      <c r="L1911" s="1" t="s">
        <v>43</v>
      </c>
      <c r="M1911" s="1">
        <v>1900</v>
      </c>
      <c r="AG1911" s="1">
        <v>0</v>
      </c>
      <c r="AH1911" s="2">
        <v>45139</v>
      </c>
      <c r="AI1911" s="2">
        <v>45291</v>
      </c>
      <c r="AJ1911" s="2">
        <v>45139</v>
      </c>
    </row>
    <row r="1912" spans="1:36">
      <c r="A1912" s="1" t="str">
        <f>"ZB13DB6B37"</f>
        <v>ZB13DB6B37</v>
      </c>
      <c r="B1912" s="1" t="str">
        <f t="shared" si="39"/>
        <v>02406911202</v>
      </c>
      <c r="C1912" s="1" t="s">
        <v>13</v>
      </c>
      <c r="D1912" s="1" t="s">
        <v>167</v>
      </c>
      <c r="E1912" s="1" t="s">
        <v>1947</v>
      </c>
      <c r="F1912" s="1" t="s">
        <v>158</v>
      </c>
      <c r="G1912" s="1" t="str">
        <f>"00326930377"</f>
        <v>00326930377</v>
      </c>
      <c r="I1912" s="1" t="s">
        <v>1493</v>
      </c>
      <c r="L1912" s="1" t="s">
        <v>43</v>
      </c>
      <c r="M1912" s="1">
        <v>540</v>
      </c>
      <c r="AG1912" s="1">
        <v>0</v>
      </c>
      <c r="AH1912" s="2">
        <v>45273</v>
      </c>
      <c r="AI1912" s="2">
        <v>45273</v>
      </c>
      <c r="AJ1912" s="2">
        <v>45273</v>
      </c>
    </row>
    <row r="1913" spans="1:36">
      <c r="A1913" s="1" t="str">
        <f>"ZB13DC8983"</f>
        <v>ZB13DC8983</v>
      </c>
      <c r="B1913" s="1" t="str">
        <f t="shared" si="39"/>
        <v>02406911202</v>
      </c>
      <c r="C1913" s="1" t="s">
        <v>13</v>
      </c>
      <c r="D1913" s="1" t="s">
        <v>180</v>
      </c>
      <c r="E1913" s="1" t="s">
        <v>279</v>
      </c>
      <c r="F1913" s="1" t="s">
        <v>158</v>
      </c>
      <c r="G1913" s="1" t="str">
        <f>"08763060152"</f>
        <v>08763060152</v>
      </c>
      <c r="I1913" s="1" t="s">
        <v>1948</v>
      </c>
      <c r="L1913" s="1" t="s">
        <v>43</v>
      </c>
      <c r="M1913" s="1">
        <v>6000</v>
      </c>
      <c r="AG1913" s="1">
        <v>0</v>
      </c>
      <c r="AH1913" s="2">
        <v>45274</v>
      </c>
      <c r="AI1913" s="2">
        <v>45291</v>
      </c>
      <c r="AJ1913" s="2">
        <v>45274</v>
      </c>
    </row>
    <row r="1914" spans="1:36">
      <c r="A1914" s="1" t="str">
        <f>"ZB23CA2B74"</f>
        <v>ZB23CA2B74</v>
      </c>
      <c r="B1914" s="1" t="str">
        <f t="shared" si="39"/>
        <v>02406911202</v>
      </c>
      <c r="C1914" s="1" t="s">
        <v>13</v>
      </c>
      <c r="D1914" s="1" t="s">
        <v>180</v>
      </c>
      <c r="E1914" s="1" t="s">
        <v>220</v>
      </c>
      <c r="F1914" s="1" t="s">
        <v>158</v>
      </c>
      <c r="G1914" s="1" t="str">
        <f>"04957131008"</f>
        <v>04957131008</v>
      </c>
      <c r="I1914" s="1" t="s">
        <v>1949</v>
      </c>
      <c r="L1914" s="1" t="s">
        <v>43</v>
      </c>
      <c r="M1914" s="1">
        <v>5000</v>
      </c>
      <c r="AG1914" s="1">
        <v>756</v>
      </c>
      <c r="AH1914" s="2">
        <v>45198</v>
      </c>
      <c r="AI1914" s="2">
        <v>45535</v>
      </c>
      <c r="AJ1914" s="2">
        <v>45198</v>
      </c>
    </row>
    <row r="1915" spans="1:36">
      <c r="A1915" s="1" t="str">
        <f>"ZB23CAC177"</f>
        <v>ZB23CAC177</v>
      </c>
      <c r="B1915" s="1" t="str">
        <f t="shared" si="39"/>
        <v>02406911202</v>
      </c>
      <c r="C1915" s="1" t="s">
        <v>13</v>
      </c>
      <c r="D1915" s="1" t="s">
        <v>180</v>
      </c>
      <c r="E1915" s="1" t="s">
        <v>279</v>
      </c>
      <c r="F1915" s="1" t="s">
        <v>158</v>
      </c>
      <c r="G1915" s="1" t="str">
        <f>"03597020373"</f>
        <v>03597020373</v>
      </c>
      <c r="I1915" s="1" t="s">
        <v>254</v>
      </c>
      <c r="L1915" s="1" t="s">
        <v>43</v>
      </c>
      <c r="M1915" s="1">
        <v>5000</v>
      </c>
      <c r="AG1915" s="1">
        <v>2582.4</v>
      </c>
      <c r="AH1915" s="2">
        <v>45201</v>
      </c>
      <c r="AI1915" s="2">
        <v>45291</v>
      </c>
      <c r="AJ1915" s="2">
        <v>45201</v>
      </c>
    </row>
    <row r="1916" spans="1:36">
      <c r="A1916" s="1" t="str">
        <f>"ZB23D3B0E6"</f>
        <v>ZB23D3B0E6</v>
      </c>
      <c r="B1916" s="1" t="str">
        <f t="shared" si="39"/>
        <v>02406911202</v>
      </c>
      <c r="C1916" s="1" t="s">
        <v>13</v>
      </c>
      <c r="D1916" s="1" t="s">
        <v>177</v>
      </c>
      <c r="E1916" s="1" t="s">
        <v>1950</v>
      </c>
      <c r="F1916" s="1" t="s">
        <v>158</v>
      </c>
      <c r="G1916" s="1" t="str">
        <f>"00310810221"</f>
        <v>00310810221</v>
      </c>
      <c r="I1916" s="1" t="s">
        <v>1951</v>
      </c>
      <c r="L1916" s="1" t="s">
        <v>43</v>
      </c>
      <c r="M1916" s="1">
        <v>150000</v>
      </c>
      <c r="AG1916" s="1">
        <v>0</v>
      </c>
      <c r="AH1916" s="2">
        <v>45231</v>
      </c>
      <c r="AI1916" s="2">
        <v>45961</v>
      </c>
      <c r="AJ1916" s="2">
        <v>45231</v>
      </c>
    </row>
    <row r="1917" spans="1:36">
      <c r="A1917" s="1" t="str">
        <f>"ZB23D6D1F1"</f>
        <v>ZB23D6D1F1</v>
      </c>
      <c r="B1917" s="1" t="str">
        <f t="shared" si="39"/>
        <v>02406911202</v>
      </c>
      <c r="C1917" s="1" t="s">
        <v>13</v>
      </c>
      <c r="D1917" s="1" t="s">
        <v>180</v>
      </c>
      <c r="E1917" s="1" t="s">
        <v>281</v>
      </c>
      <c r="F1917" s="1" t="s">
        <v>158</v>
      </c>
      <c r="G1917" s="1" t="str">
        <f>"00514240142"</f>
        <v>00514240142</v>
      </c>
      <c r="I1917" s="1" t="s">
        <v>492</v>
      </c>
      <c r="L1917" s="1" t="s">
        <v>43</v>
      </c>
      <c r="M1917" s="1">
        <v>6000</v>
      </c>
      <c r="AG1917" s="1">
        <v>0</v>
      </c>
      <c r="AH1917" s="2">
        <v>45253</v>
      </c>
      <c r="AI1917" s="2">
        <v>45291</v>
      </c>
      <c r="AJ1917" s="2">
        <v>45253</v>
      </c>
    </row>
    <row r="1918" spans="1:36">
      <c r="A1918" s="1" t="str">
        <f>"ZB23D7AD91"</f>
        <v>ZB23D7AD91</v>
      </c>
      <c r="B1918" s="1" t="str">
        <f t="shared" si="39"/>
        <v>02406911202</v>
      </c>
      <c r="C1918" s="1" t="s">
        <v>13</v>
      </c>
      <c r="D1918" s="1" t="s">
        <v>180</v>
      </c>
      <c r="E1918" s="1" t="s">
        <v>281</v>
      </c>
      <c r="F1918" s="1" t="s">
        <v>158</v>
      </c>
      <c r="G1918" s="1" t="str">
        <f>"03353370160"</f>
        <v>03353370160</v>
      </c>
      <c r="I1918" s="1" t="s">
        <v>478</v>
      </c>
      <c r="L1918" s="1" t="s">
        <v>43</v>
      </c>
      <c r="M1918" s="1">
        <v>5000</v>
      </c>
      <c r="AG1918" s="1">
        <v>0</v>
      </c>
      <c r="AH1918" s="2">
        <v>45258</v>
      </c>
      <c r="AI1918" s="2">
        <v>45291</v>
      </c>
      <c r="AJ1918" s="2">
        <v>45258</v>
      </c>
    </row>
    <row r="1919" spans="1:36">
      <c r="A1919" s="1" t="str">
        <f>"ZB23DAAD46"</f>
        <v>ZB23DAAD46</v>
      </c>
      <c r="B1919" s="1" t="str">
        <f t="shared" si="39"/>
        <v>02406911202</v>
      </c>
      <c r="C1919" s="1" t="s">
        <v>13</v>
      </c>
      <c r="D1919" s="1" t="s">
        <v>164</v>
      </c>
      <c r="E1919" s="1" t="s">
        <v>1952</v>
      </c>
      <c r="F1919" s="1" t="s">
        <v>39</v>
      </c>
      <c r="G1919" s="1" t="str">
        <f>"03471940373"</f>
        <v>03471940373</v>
      </c>
      <c r="I1919" s="1" t="s">
        <v>1574</v>
      </c>
      <c r="L1919" s="1" t="s">
        <v>43</v>
      </c>
      <c r="M1919" s="1">
        <v>2397.5</v>
      </c>
      <c r="AG1919" s="1">
        <v>0</v>
      </c>
      <c r="AH1919" s="2">
        <v>45267</v>
      </c>
      <c r="AI1919" s="2">
        <v>45291</v>
      </c>
      <c r="AJ1919" s="2">
        <v>45267</v>
      </c>
    </row>
    <row r="1920" spans="1:36">
      <c r="A1920" s="1" t="str">
        <f>"ZB23DBCF7E"</f>
        <v>ZB23DBCF7E</v>
      </c>
      <c r="B1920" s="1" t="str">
        <f t="shared" si="39"/>
        <v>02406911202</v>
      </c>
      <c r="C1920" s="1" t="s">
        <v>13</v>
      </c>
      <c r="D1920" s="1" t="s">
        <v>180</v>
      </c>
      <c r="E1920" s="1" t="s">
        <v>296</v>
      </c>
      <c r="F1920" s="1" t="s">
        <v>158</v>
      </c>
      <c r="G1920" s="1" t="str">
        <f>"11160660152"</f>
        <v>11160660152</v>
      </c>
      <c r="I1920" s="1" t="s">
        <v>457</v>
      </c>
      <c r="L1920" s="1" t="s">
        <v>43</v>
      </c>
      <c r="M1920" s="1">
        <v>6000</v>
      </c>
      <c r="AG1920" s="1">
        <v>0</v>
      </c>
      <c r="AH1920" s="2">
        <v>45279</v>
      </c>
      <c r="AI1920" s="2">
        <v>45657</v>
      </c>
      <c r="AJ1920" s="2">
        <v>45279</v>
      </c>
    </row>
    <row r="1921" spans="1:36">
      <c r="A1921" s="1" t="str">
        <f>"ZB33C74582"</f>
        <v>ZB33C74582</v>
      </c>
      <c r="B1921" s="1" t="str">
        <f t="shared" si="39"/>
        <v>02406911202</v>
      </c>
      <c r="C1921" s="1" t="s">
        <v>13</v>
      </c>
      <c r="D1921" s="1" t="s">
        <v>264</v>
      </c>
      <c r="E1921" s="1" t="s">
        <v>1953</v>
      </c>
      <c r="F1921" s="1" t="s">
        <v>158</v>
      </c>
      <c r="G1921" s="1" t="str">
        <f>"02704520341"</f>
        <v>02704520341</v>
      </c>
      <c r="I1921" s="1" t="s">
        <v>266</v>
      </c>
      <c r="L1921" s="1" t="s">
        <v>43</v>
      </c>
      <c r="M1921" s="1">
        <v>39000</v>
      </c>
      <c r="AG1921" s="1">
        <v>0</v>
      </c>
      <c r="AH1921" s="2">
        <v>45183</v>
      </c>
      <c r="AI1921" s="2">
        <v>45239</v>
      </c>
      <c r="AJ1921" s="2">
        <v>45183</v>
      </c>
    </row>
    <row r="1922" spans="1:36">
      <c r="A1922" s="1" t="str">
        <f>"ZB33C8B725"</f>
        <v>ZB33C8B725</v>
      </c>
      <c r="B1922" s="1" t="str">
        <f t="shared" ref="B1922:B1985" si="40">"02406911202"</f>
        <v>02406911202</v>
      </c>
      <c r="C1922" s="1" t="s">
        <v>13</v>
      </c>
      <c r="D1922" s="1" t="s">
        <v>180</v>
      </c>
      <c r="E1922" s="1" t="s">
        <v>244</v>
      </c>
      <c r="F1922" s="1" t="s">
        <v>158</v>
      </c>
      <c r="G1922" s="1" t="str">
        <f>"07862510018"</f>
        <v>07862510018</v>
      </c>
      <c r="I1922" s="1" t="s">
        <v>330</v>
      </c>
      <c r="L1922" s="1" t="s">
        <v>43</v>
      </c>
      <c r="M1922" s="1">
        <v>6000</v>
      </c>
      <c r="AG1922" s="1">
        <v>2068.8000000000002</v>
      </c>
      <c r="AH1922" s="2">
        <v>45197</v>
      </c>
      <c r="AI1922" s="2">
        <v>45291</v>
      </c>
      <c r="AJ1922" s="2">
        <v>45197</v>
      </c>
    </row>
    <row r="1923" spans="1:36">
      <c r="A1923" s="1" t="str">
        <f>"ZB33CA55E2"</f>
        <v>ZB33CA55E2</v>
      </c>
      <c r="B1923" s="1" t="str">
        <f t="shared" si="40"/>
        <v>02406911202</v>
      </c>
      <c r="C1923" s="1" t="s">
        <v>13</v>
      </c>
      <c r="D1923" s="1" t="s">
        <v>180</v>
      </c>
      <c r="E1923" s="1" t="s">
        <v>1954</v>
      </c>
      <c r="F1923" s="1" t="s">
        <v>158</v>
      </c>
      <c r="G1923" s="1" t="str">
        <f>"PLLTZN62R09H223K"</f>
        <v>PLLTZN62R09H223K</v>
      </c>
      <c r="I1923" s="1" t="s">
        <v>1955</v>
      </c>
      <c r="L1923" s="1" t="s">
        <v>43</v>
      </c>
      <c r="M1923" s="1">
        <v>5000</v>
      </c>
      <c r="AG1923" s="1">
        <v>574.4</v>
      </c>
      <c r="AH1923" s="2">
        <v>45217</v>
      </c>
      <c r="AI1923" s="2">
        <v>45291</v>
      </c>
      <c r="AJ1923" s="2">
        <v>45217</v>
      </c>
    </row>
    <row r="1924" spans="1:36">
      <c r="A1924" s="1" t="str">
        <f>"ZB33CFABAD"</f>
        <v>ZB33CFABAD</v>
      </c>
      <c r="B1924" s="1" t="str">
        <f t="shared" si="40"/>
        <v>02406911202</v>
      </c>
      <c r="C1924" s="1" t="s">
        <v>13</v>
      </c>
      <c r="D1924" s="1" t="s">
        <v>180</v>
      </c>
      <c r="E1924" s="1" t="s">
        <v>279</v>
      </c>
      <c r="F1924" s="1" t="s">
        <v>158</v>
      </c>
      <c r="G1924" s="1" t="str">
        <f>"12864800151"</f>
        <v>12864800151</v>
      </c>
      <c r="I1924" s="1" t="s">
        <v>1956</v>
      </c>
      <c r="L1924" s="1" t="s">
        <v>43</v>
      </c>
      <c r="M1924" s="1">
        <v>5000</v>
      </c>
      <c r="AG1924" s="1">
        <v>242.91</v>
      </c>
      <c r="AH1924" s="2">
        <v>45223</v>
      </c>
      <c r="AI1924" s="2">
        <v>45657</v>
      </c>
      <c r="AJ1924" s="2">
        <v>45223</v>
      </c>
    </row>
    <row r="1925" spans="1:36">
      <c r="A1925" s="1" t="str">
        <f>"ZB33D332B0"</f>
        <v>ZB33D332B0</v>
      </c>
      <c r="B1925" s="1" t="str">
        <f t="shared" si="40"/>
        <v>02406911202</v>
      </c>
      <c r="C1925" s="1" t="s">
        <v>13</v>
      </c>
      <c r="D1925" s="1" t="s">
        <v>180</v>
      </c>
      <c r="E1925" s="1" t="s">
        <v>281</v>
      </c>
      <c r="F1925" s="1" t="s">
        <v>158</v>
      </c>
      <c r="G1925" s="1" t="str">
        <f>"01262470667"</f>
        <v>01262470667</v>
      </c>
      <c r="I1925" s="1" t="s">
        <v>1502</v>
      </c>
      <c r="L1925" s="1" t="s">
        <v>43</v>
      </c>
      <c r="M1925" s="1">
        <v>5000</v>
      </c>
      <c r="AG1925" s="1">
        <v>0</v>
      </c>
      <c r="AH1925" s="2">
        <v>45239</v>
      </c>
      <c r="AI1925" s="2">
        <v>45291</v>
      </c>
      <c r="AJ1925" s="2">
        <v>45239</v>
      </c>
    </row>
    <row r="1926" spans="1:36">
      <c r="A1926" s="1" t="str">
        <f>"ZB33D6BE9A"</f>
        <v>ZB33D6BE9A</v>
      </c>
      <c r="B1926" s="1" t="str">
        <f t="shared" si="40"/>
        <v>02406911202</v>
      </c>
      <c r="C1926" s="1" t="s">
        <v>13</v>
      </c>
      <c r="D1926" s="1" t="s">
        <v>186</v>
      </c>
      <c r="E1926" s="1" t="s">
        <v>1957</v>
      </c>
      <c r="F1926" s="1" t="s">
        <v>158</v>
      </c>
      <c r="G1926" s="1" t="str">
        <f>"00489820464"</f>
        <v>00489820464</v>
      </c>
      <c r="I1926" s="1" t="s">
        <v>1958</v>
      </c>
      <c r="L1926" s="1" t="s">
        <v>43</v>
      </c>
      <c r="M1926" s="1">
        <v>4999</v>
      </c>
      <c r="AG1926" s="1">
        <v>0</v>
      </c>
      <c r="AH1926" s="2">
        <v>45253</v>
      </c>
      <c r="AI1926" s="2">
        <v>45619</v>
      </c>
      <c r="AJ1926" s="2">
        <v>45253</v>
      </c>
    </row>
    <row r="1927" spans="1:36">
      <c r="A1927" s="1" t="str">
        <f>"ZB33D84CAC"</f>
        <v>ZB33D84CAC</v>
      </c>
      <c r="B1927" s="1" t="str">
        <f t="shared" si="40"/>
        <v>02406911202</v>
      </c>
      <c r="C1927" s="1" t="s">
        <v>13</v>
      </c>
      <c r="D1927" s="1" t="s">
        <v>186</v>
      </c>
      <c r="E1927" s="1" t="s">
        <v>1959</v>
      </c>
      <c r="F1927" s="1" t="s">
        <v>158</v>
      </c>
      <c r="G1927" s="1" t="str">
        <f>"01057060384"</f>
        <v>01057060384</v>
      </c>
      <c r="I1927" s="1" t="s">
        <v>323</v>
      </c>
      <c r="L1927" s="1" t="s">
        <v>43</v>
      </c>
      <c r="M1927" s="1">
        <v>4999</v>
      </c>
      <c r="AG1927" s="1">
        <v>0</v>
      </c>
      <c r="AH1927" s="2">
        <v>45259</v>
      </c>
      <c r="AI1927" s="2">
        <v>45657</v>
      </c>
      <c r="AJ1927" s="2">
        <v>45259</v>
      </c>
    </row>
    <row r="1928" spans="1:36">
      <c r="A1928" s="1" t="str">
        <f>"ZB43CB145D"</f>
        <v>ZB43CB145D</v>
      </c>
      <c r="B1928" s="1" t="str">
        <f t="shared" si="40"/>
        <v>02406911202</v>
      </c>
      <c r="C1928" s="1" t="s">
        <v>13</v>
      </c>
      <c r="D1928" s="1" t="s">
        <v>167</v>
      </c>
      <c r="E1928" s="1" t="s">
        <v>1960</v>
      </c>
      <c r="F1928" s="1" t="s">
        <v>151</v>
      </c>
      <c r="G1928" s="1" t="str">
        <f>"02693090033"</f>
        <v>02693090033</v>
      </c>
      <c r="I1928" s="1" t="s">
        <v>1933</v>
      </c>
      <c r="L1928" s="1" t="s">
        <v>43</v>
      </c>
      <c r="M1928" s="1">
        <v>1480</v>
      </c>
      <c r="AG1928" s="1">
        <v>0</v>
      </c>
      <c r="AH1928" s="2">
        <v>45215</v>
      </c>
      <c r="AI1928" s="2">
        <v>45945</v>
      </c>
      <c r="AJ1928" s="2">
        <v>45215</v>
      </c>
    </row>
    <row r="1929" spans="1:36">
      <c r="A1929" s="1" t="str">
        <f>"ZB43D41D4A"</f>
        <v>ZB43D41D4A</v>
      </c>
      <c r="B1929" s="1" t="str">
        <f t="shared" si="40"/>
        <v>02406911202</v>
      </c>
      <c r="C1929" s="1" t="s">
        <v>13</v>
      </c>
      <c r="D1929" s="1" t="s">
        <v>180</v>
      </c>
      <c r="E1929" s="1" t="s">
        <v>281</v>
      </c>
      <c r="F1929" s="1" t="s">
        <v>158</v>
      </c>
      <c r="G1929" s="1" t="str">
        <f>"02082760261"</f>
        <v>02082760261</v>
      </c>
      <c r="I1929" s="1" t="s">
        <v>1961</v>
      </c>
      <c r="L1929" s="1" t="s">
        <v>43</v>
      </c>
      <c r="M1929" s="1">
        <v>5000</v>
      </c>
      <c r="AG1929" s="1">
        <v>0</v>
      </c>
      <c r="AH1929" s="2">
        <v>45244</v>
      </c>
      <c r="AI1929" s="2">
        <v>45291</v>
      </c>
      <c r="AJ1929" s="2">
        <v>45244</v>
      </c>
    </row>
    <row r="1930" spans="1:36">
      <c r="A1930" s="1" t="str">
        <f>"ZB43DB867F"</f>
        <v>ZB43DB867F</v>
      </c>
      <c r="B1930" s="1" t="str">
        <f t="shared" si="40"/>
        <v>02406911202</v>
      </c>
      <c r="C1930" s="1" t="s">
        <v>13</v>
      </c>
      <c r="D1930" s="1" t="s">
        <v>180</v>
      </c>
      <c r="E1930" s="1" t="s">
        <v>281</v>
      </c>
      <c r="F1930" s="1" t="s">
        <v>158</v>
      </c>
      <c r="G1930" s="1" t="str">
        <f>"15685941005"</f>
        <v>15685941005</v>
      </c>
      <c r="I1930" s="1" t="s">
        <v>1495</v>
      </c>
      <c r="L1930" s="1" t="s">
        <v>43</v>
      </c>
      <c r="M1930" s="1">
        <v>6000</v>
      </c>
      <c r="AG1930" s="1">
        <v>0</v>
      </c>
      <c r="AH1930" s="2">
        <v>45272</v>
      </c>
      <c r="AI1930" s="2">
        <v>45657</v>
      </c>
      <c r="AJ1930" s="2">
        <v>45272</v>
      </c>
    </row>
    <row r="1931" spans="1:36">
      <c r="A1931" s="1" t="str">
        <f>"ZB53CFC1C9"</f>
        <v>ZB53CFC1C9</v>
      </c>
      <c r="B1931" s="1" t="str">
        <f t="shared" si="40"/>
        <v>02406911202</v>
      </c>
      <c r="C1931" s="1" t="s">
        <v>13</v>
      </c>
      <c r="D1931" s="1" t="s">
        <v>180</v>
      </c>
      <c r="E1931" s="1" t="s">
        <v>281</v>
      </c>
      <c r="F1931" s="1" t="s">
        <v>158</v>
      </c>
      <c r="G1931" s="1" t="str">
        <f>"07747160153"</f>
        <v>07747160153</v>
      </c>
      <c r="I1931" s="1" t="s">
        <v>446</v>
      </c>
      <c r="L1931" s="1" t="s">
        <v>43</v>
      </c>
      <c r="M1931" s="1">
        <v>6000</v>
      </c>
      <c r="AG1931" s="1">
        <v>5320</v>
      </c>
      <c r="AH1931" s="2">
        <v>45223</v>
      </c>
      <c r="AI1931" s="2">
        <v>45291</v>
      </c>
      <c r="AJ1931" s="2">
        <v>45223</v>
      </c>
    </row>
    <row r="1932" spans="1:36">
      <c r="A1932" s="1" t="str">
        <f>"ZB53D55268"</f>
        <v>ZB53D55268</v>
      </c>
      <c r="B1932" s="1" t="str">
        <f t="shared" si="40"/>
        <v>02406911202</v>
      </c>
      <c r="C1932" s="1" t="s">
        <v>13</v>
      </c>
      <c r="D1932" s="1" t="s">
        <v>180</v>
      </c>
      <c r="E1932" s="1" t="s">
        <v>1962</v>
      </c>
      <c r="F1932" s="1" t="s">
        <v>158</v>
      </c>
      <c r="H1932" s="1" t="str">
        <f>"559046863201"</f>
        <v>559046863201</v>
      </c>
      <c r="I1932" s="1" t="s">
        <v>1963</v>
      </c>
      <c r="L1932" s="1" t="s">
        <v>43</v>
      </c>
      <c r="M1932" s="1">
        <v>39999</v>
      </c>
      <c r="AG1932" s="1">
        <v>0</v>
      </c>
      <c r="AH1932" s="2">
        <v>45247</v>
      </c>
      <c r="AI1932" s="2">
        <v>45291</v>
      </c>
      <c r="AJ1932" s="2">
        <v>45247</v>
      </c>
    </row>
    <row r="1933" spans="1:36">
      <c r="A1933" s="1" t="str">
        <f>"ZB63BA97FC"</f>
        <v>ZB63BA97FC</v>
      </c>
      <c r="B1933" s="1" t="str">
        <f t="shared" si="40"/>
        <v>02406911202</v>
      </c>
      <c r="C1933" s="1" t="s">
        <v>13</v>
      </c>
      <c r="D1933" s="1" t="s">
        <v>167</v>
      </c>
      <c r="E1933" s="1" t="s">
        <v>1964</v>
      </c>
      <c r="F1933" s="1" t="s">
        <v>151</v>
      </c>
      <c r="G1933" s="1" t="str">
        <f>"02062550443"</f>
        <v>02062550443</v>
      </c>
      <c r="I1933" s="1" t="s">
        <v>566</v>
      </c>
      <c r="L1933" s="1" t="s">
        <v>43</v>
      </c>
      <c r="M1933" s="1">
        <v>9750</v>
      </c>
      <c r="AG1933" s="1">
        <v>0</v>
      </c>
      <c r="AH1933" s="2">
        <v>45237</v>
      </c>
      <c r="AI1933" s="2">
        <v>46022</v>
      </c>
      <c r="AJ1933" s="2">
        <v>45237</v>
      </c>
    </row>
    <row r="1934" spans="1:36">
      <c r="A1934" s="1" t="str">
        <f>"ZB63CC829E"</f>
        <v>ZB63CC829E</v>
      </c>
      <c r="B1934" s="1" t="str">
        <f t="shared" si="40"/>
        <v>02406911202</v>
      </c>
      <c r="C1934" s="1" t="s">
        <v>13</v>
      </c>
      <c r="D1934" s="1" t="s">
        <v>180</v>
      </c>
      <c r="E1934" s="1" t="s">
        <v>181</v>
      </c>
      <c r="F1934" s="1" t="s">
        <v>158</v>
      </c>
      <c r="G1934" s="1" t="str">
        <f>"11654150157"</f>
        <v>11654150157</v>
      </c>
      <c r="I1934" s="1" t="s">
        <v>263</v>
      </c>
      <c r="L1934" s="1" t="s">
        <v>43</v>
      </c>
      <c r="M1934" s="1">
        <v>6000</v>
      </c>
      <c r="AG1934" s="1">
        <v>5322</v>
      </c>
      <c r="AH1934" s="2">
        <v>45209</v>
      </c>
      <c r="AI1934" s="2">
        <v>45291</v>
      </c>
      <c r="AJ1934" s="2">
        <v>45209</v>
      </c>
    </row>
    <row r="1935" spans="1:36">
      <c r="A1935" s="1" t="str">
        <f>"ZB73CDFC5E"</f>
        <v>ZB73CDFC5E</v>
      </c>
      <c r="B1935" s="1" t="str">
        <f t="shared" si="40"/>
        <v>02406911202</v>
      </c>
      <c r="C1935" s="1" t="s">
        <v>13</v>
      </c>
      <c r="D1935" s="1" t="s">
        <v>264</v>
      </c>
      <c r="E1935" s="1" t="s">
        <v>1965</v>
      </c>
      <c r="F1935" s="1" t="s">
        <v>158</v>
      </c>
      <c r="G1935" s="1" t="str">
        <f>"08075151004"</f>
        <v>08075151004</v>
      </c>
      <c r="I1935" s="1" t="s">
        <v>1909</v>
      </c>
      <c r="L1935" s="1" t="s">
        <v>43</v>
      </c>
      <c r="M1935" s="1">
        <v>1000</v>
      </c>
      <c r="AG1935" s="1">
        <v>100</v>
      </c>
      <c r="AH1935" s="2">
        <v>45216</v>
      </c>
      <c r="AI1935" s="2">
        <v>45291</v>
      </c>
      <c r="AJ1935" s="2">
        <v>45216</v>
      </c>
    </row>
    <row r="1936" spans="1:36">
      <c r="A1936" s="1" t="str">
        <f>"ZB73D1459C"</f>
        <v>ZB73D1459C</v>
      </c>
      <c r="B1936" s="1" t="str">
        <f t="shared" si="40"/>
        <v>02406911202</v>
      </c>
      <c r="C1936" s="1" t="s">
        <v>13</v>
      </c>
      <c r="D1936" s="1" t="s">
        <v>186</v>
      </c>
      <c r="E1936" s="1" t="s">
        <v>1966</v>
      </c>
      <c r="F1936" s="1" t="s">
        <v>158</v>
      </c>
      <c r="G1936" s="1" t="str">
        <f>"04599620400"</f>
        <v>04599620400</v>
      </c>
      <c r="I1936" s="1" t="s">
        <v>1967</v>
      </c>
      <c r="L1936" s="1" t="s">
        <v>43</v>
      </c>
      <c r="M1936" s="1">
        <v>4999</v>
      </c>
      <c r="AG1936" s="1">
        <v>0</v>
      </c>
      <c r="AH1936" s="2">
        <v>45230</v>
      </c>
      <c r="AI1936" s="2">
        <v>45657</v>
      </c>
      <c r="AJ1936" s="2">
        <v>45230</v>
      </c>
    </row>
    <row r="1937" spans="1:36">
      <c r="A1937" s="1" t="str">
        <f>"ZB73D331CE"</f>
        <v>ZB73D331CE</v>
      </c>
      <c r="B1937" s="1" t="str">
        <f t="shared" si="40"/>
        <v>02406911202</v>
      </c>
      <c r="C1937" s="1" t="s">
        <v>13</v>
      </c>
      <c r="D1937" s="1" t="s">
        <v>180</v>
      </c>
      <c r="E1937" s="1" t="s">
        <v>296</v>
      </c>
      <c r="F1937" s="1" t="s">
        <v>158</v>
      </c>
      <c r="G1937" s="1" t="str">
        <f>"02285440398"</f>
        <v>02285440398</v>
      </c>
      <c r="I1937" s="1" t="s">
        <v>356</v>
      </c>
      <c r="L1937" s="1" t="s">
        <v>43</v>
      </c>
      <c r="M1937" s="1">
        <v>5000</v>
      </c>
      <c r="AG1937" s="1">
        <v>0</v>
      </c>
      <c r="AH1937" s="2">
        <v>45239</v>
      </c>
      <c r="AI1937" s="2">
        <v>45291</v>
      </c>
      <c r="AJ1937" s="2">
        <v>45239</v>
      </c>
    </row>
    <row r="1938" spans="1:36">
      <c r="A1938" s="1" t="str">
        <f>"ZB73DDE346"</f>
        <v>ZB73DDE346</v>
      </c>
      <c r="B1938" s="1" t="str">
        <f t="shared" si="40"/>
        <v>02406911202</v>
      </c>
      <c r="C1938" s="1" t="s">
        <v>13</v>
      </c>
      <c r="D1938" s="1" t="s">
        <v>264</v>
      </c>
      <c r="E1938" s="1" t="s">
        <v>1968</v>
      </c>
      <c r="F1938" s="1" t="s">
        <v>158</v>
      </c>
      <c r="G1938" s="1" t="str">
        <f>"12118550966"</f>
        <v>12118550966</v>
      </c>
      <c r="I1938" s="1" t="s">
        <v>1777</v>
      </c>
      <c r="L1938" s="1" t="s">
        <v>43</v>
      </c>
      <c r="M1938" s="1">
        <v>545</v>
      </c>
      <c r="AG1938" s="1">
        <v>0</v>
      </c>
      <c r="AH1938" s="2">
        <v>45280</v>
      </c>
      <c r="AI1938" s="2">
        <v>45291</v>
      </c>
      <c r="AJ1938" s="2">
        <v>45280</v>
      </c>
    </row>
    <row r="1939" spans="1:36">
      <c r="A1939" s="1" t="str">
        <f>"ZB93D2C583"</f>
        <v>ZB93D2C583</v>
      </c>
      <c r="B1939" s="1" t="str">
        <f t="shared" si="40"/>
        <v>02406911202</v>
      </c>
      <c r="C1939" s="1" t="s">
        <v>13</v>
      </c>
      <c r="D1939" s="1" t="s">
        <v>180</v>
      </c>
      <c r="E1939" s="1" t="s">
        <v>296</v>
      </c>
      <c r="F1939" s="1" t="s">
        <v>158</v>
      </c>
      <c r="G1939" s="1" t="str">
        <f>"02504130366"</f>
        <v>02504130366</v>
      </c>
      <c r="I1939" s="1" t="s">
        <v>251</v>
      </c>
      <c r="L1939" s="1" t="s">
        <v>43</v>
      </c>
      <c r="M1939" s="1">
        <v>5000</v>
      </c>
      <c r="AG1939" s="1">
        <v>0</v>
      </c>
      <c r="AH1939" s="2">
        <v>45239</v>
      </c>
      <c r="AI1939" s="2">
        <v>45291</v>
      </c>
      <c r="AJ1939" s="2">
        <v>45239</v>
      </c>
    </row>
    <row r="1940" spans="1:36">
      <c r="A1940" s="1" t="str">
        <f>"ZB93D4587C"</f>
        <v>ZB93D4587C</v>
      </c>
      <c r="B1940" s="1" t="str">
        <f t="shared" si="40"/>
        <v>02406911202</v>
      </c>
      <c r="C1940" s="1" t="s">
        <v>13</v>
      </c>
      <c r="D1940" s="1" t="s">
        <v>177</v>
      </c>
      <c r="E1940" s="1" t="s">
        <v>1969</v>
      </c>
      <c r="F1940" s="1" t="s">
        <v>158</v>
      </c>
      <c r="G1940" s="1" t="str">
        <f>"92034930377"</f>
        <v>92034930377</v>
      </c>
      <c r="I1940" s="1" t="s">
        <v>1970</v>
      </c>
      <c r="L1940" s="1" t="s">
        <v>43</v>
      </c>
      <c r="M1940" s="1">
        <v>1900</v>
      </c>
      <c r="AG1940" s="1">
        <v>0</v>
      </c>
      <c r="AH1940" s="2">
        <v>45139</v>
      </c>
      <c r="AI1940" s="2">
        <v>45291</v>
      </c>
      <c r="AJ1940" s="2">
        <v>45139</v>
      </c>
    </row>
    <row r="1941" spans="1:36">
      <c r="A1941" s="1" t="str">
        <f>"ZB93DB1426"</f>
        <v>ZB93DB1426</v>
      </c>
      <c r="B1941" s="1" t="str">
        <f t="shared" si="40"/>
        <v>02406911202</v>
      </c>
      <c r="C1941" s="1" t="s">
        <v>13</v>
      </c>
      <c r="D1941" s="1" t="s">
        <v>180</v>
      </c>
      <c r="E1941" s="1" t="s">
        <v>220</v>
      </c>
      <c r="F1941" s="1" t="s">
        <v>158</v>
      </c>
      <c r="G1941" s="1" t="str">
        <f>"04384410017"</f>
        <v>04384410017</v>
      </c>
      <c r="I1941" s="1" t="s">
        <v>833</v>
      </c>
      <c r="L1941" s="1" t="s">
        <v>43</v>
      </c>
      <c r="M1941" s="1">
        <v>6000</v>
      </c>
      <c r="AG1941" s="1">
        <v>0</v>
      </c>
      <c r="AH1941" s="2">
        <v>45272</v>
      </c>
      <c r="AI1941" s="2">
        <v>45657</v>
      </c>
      <c r="AJ1941" s="2">
        <v>45272</v>
      </c>
    </row>
    <row r="1942" spans="1:36">
      <c r="A1942" s="1" t="str">
        <f>"ZBA3CCE4C3"</f>
        <v>ZBA3CCE4C3</v>
      </c>
      <c r="B1942" s="1" t="str">
        <f t="shared" si="40"/>
        <v>02406911202</v>
      </c>
      <c r="C1942" s="1" t="s">
        <v>13</v>
      </c>
      <c r="D1942" s="1" t="s">
        <v>186</v>
      </c>
      <c r="E1942" s="1" t="s">
        <v>353</v>
      </c>
      <c r="F1942" s="1" t="s">
        <v>158</v>
      </c>
      <c r="G1942" s="1" t="str">
        <f>"01548140381"</f>
        <v>01548140381</v>
      </c>
      <c r="I1942" s="1" t="s">
        <v>1971</v>
      </c>
      <c r="L1942" s="1" t="s">
        <v>43</v>
      </c>
      <c r="M1942" s="1">
        <v>566.20000000000005</v>
      </c>
      <c r="AG1942" s="1">
        <v>0</v>
      </c>
      <c r="AH1942" s="2">
        <v>45170</v>
      </c>
      <c r="AI1942" s="2">
        <v>45230</v>
      </c>
      <c r="AJ1942" s="2">
        <v>45170</v>
      </c>
    </row>
    <row r="1943" spans="1:36">
      <c r="A1943" s="1" t="str">
        <f>"ZBA3CDFB37"</f>
        <v>ZBA3CDFB37</v>
      </c>
      <c r="B1943" s="1" t="str">
        <f t="shared" si="40"/>
        <v>02406911202</v>
      </c>
      <c r="C1943" s="1" t="s">
        <v>13</v>
      </c>
      <c r="D1943" s="1" t="s">
        <v>264</v>
      </c>
      <c r="E1943" s="1" t="s">
        <v>1972</v>
      </c>
      <c r="F1943" s="1" t="s">
        <v>158</v>
      </c>
      <c r="G1943" s="1" t="str">
        <f>"01376730188"</f>
        <v>01376730188</v>
      </c>
      <c r="I1943" s="1" t="s">
        <v>1973</v>
      </c>
      <c r="L1943" s="1" t="s">
        <v>43</v>
      </c>
      <c r="M1943" s="1">
        <v>10000</v>
      </c>
      <c r="AG1943" s="1">
        <v>0</v>
      </c>
      <c r="AH1943" s="2">
        <v>45216</v>
      </c>
      <c r="AI1943" s="2">
        <v>45291</v>
      </c>
      <c r="AJ1943" s="2">
        <v>45216</v>
      </c>
    </row>
    <row r="1944" spans="1:36">
      <c r="A1944" s="1" t="str">
        <f>"ZBA3D0AF6D"</f>
        <v>ZBA3D0AF6D</v>
      </c>
      <c r="B1944" s="1" t="str">
        <f t="shared" si="40"/>
        <v>02406911202</v>
      </c>
      <c r="C1944" s="1" t="s">
        <v>13</v>
      </c>
      <c r="D1944" s="1" t="s">
        <v>180</v>
      </c>
      <c r="E1944" s="1" t="s">
        <v>281</v>
      </c>
      <c r="F1944" s="1" t="s">
        <v>158</v>
      </c>
      <c r="G1944" s="1" t="str">
        <f>"15685941005"</f>
        <v>15685941005</v>
      </c>
      <c r="I1944" s="1" t="s">
        <v>1495</v>
      </c>
      <c r="L1944" s="1" t="s">
        <v>43</v>
      </c>
      <c r="M1944" s="1">
        <v>6000</v>
      </c>
      <c r="AG1944" s="1">
        <v>0</v>
      </c>
      <c r="AH1944" s="2">
        <v>45226</v>
      </c>
      <c r="AI1944" s="2">
        <v>45291</v>
      </c>
      <c r="AJ1944" s="2">
        <v>45226</v>
      </c>
    </row>
    <row r="1945" spans="1:36">
      <c r="A1945" s="1" t="str">
        <f>"ZBA3D66B30"</f>
        <v>ZBA3D66B30</v>
      </c>
      <c r="B1945" s="1" t="str">
        <f t="shared" si="40"/>
        <v>02406911202</v>
      </c>
      <c r="C1945" s="1" t="s">
        <v>13</v>
      </c>
      <c r="D1945" s="1" t="s">
        <v>180</v>
      </c>
      <c r="E1945" s="1" t="s">
        <v>181</v>
      </c>
      <c r="F1945" s="1" t="s">
        <v>158</v>
      </c>
      <c r="G1945" s="1" t="str">
        <f>"03296950151"</f>
        <v>03296950151</v>
      </c>
      <c r="I1945" s="1" t="s">
        <v>1974</v>
      </c>
      <c r="L1945" s="1" t="s">
        <v>43</v>
      </c>
      <c r="M1945" s="1">
        <v>5000</v>
      </c>
      <c r="AG1945" s="1">
        <v>0</v>
      </c>
      <c r="AH1945" s="2">
        <v>45252</v>
      </c>
      <c r="AI1945" s="2">
        <v>45291</v>
      </c>
      <c r="AJ1945" s="2">
        <v>45252</v>
      </c>
    </row>
    <row r="1946" spans="1:36">
      <c r="A1946" s="1" t="str">
        <f>"ZBA3D7D6F1"</f>
        <v>ZBA3D7D6F1</v>
      </c>
      <c r="B1946" s="1" t="str">
        <f t="shared" si="40"/>
        <v>02406911202</v>
      </c>
      <c r="C1946" s="1" t="s">
        <v>13</v>
      </c>
      <c r="D1946" s="1" t="s">
        <v>264</v>
      </c>
      <c r="E1946" s="1" t="s">
        <v>1975</v>
      </c>
      <c r="F1946" s="1" t="s">
        <v>158</v>
      </c>
      <c r="G1946" s="1" t="str">
        <f>"12435741009"</f>
        <v>12435741009</v>
      </c>
      <c r="I1946" s="1" t="s">
        <v>1976</v>
      </c>
      <c r="L1946" s="1" t="s">
        <v>43</v>
      </c>
      <c r="M1946" s="1">
        <v>7400</v>
      </c>
      <c r="AG1946" s="1">
        <v>0</v>
      </c>
      <c r="AH1946" s="2">
        <v>45258</v>
      </c>
      <c r="AI1946" s="2">
        <v>45291</v>
      </c>
      <c r="AJ1946" s="2">
        <v>45258</v>
      </c>
    </row>
    <row r="1947" spans="1:36">
      <c r="A1947" s="1" t="str">
        <f>"ZBC3DCB0C1"</f>
        <v>ZBC3DCB0C1</v>
      </c>
      <c r="B1947" s="1" t="str">
        <f t="shared" si="40"/>
        <v>02406911202</v>
      </c>
      <c r="C1947" s="1" t="s">
        <v>13</v>
      </c>
      <c r="D1947" s="1" t="s">
        <v>186</v>
      </c>
      <c r="E1947" s="1" t="s">
        <v>1977</v>
      </c>
      <c r="F1947" s="1" t="s">
        <v>158</v>
      </c>
      <c r="G1947" s="1" t="str">
        <f>"00136740404"</f>
        <v>00136740404</v>
      </c>
      <c r="I1947" s="1" t="s">
        <v>398</v>
      </c>
      <c r="L1947" s="1" t="s">
        <v>43</v>
      </c>
      <c r="M1947" s="1">
        <v>4999</v>
      </c>
      <c r="AG1947" s="1">
        <v>0</v>
      </c>
      <c r="AH1947" s="2">
        <v>45275</v>
      </c>
      <c r="AI1947" s="2">
        <v>45351</v>
      </c>
      <c r="AJ1947" s="2">
        <v>45275</v>
      </c>
    </row>
    <row r="1948" spans="1:36">
      <c r="A1948" s="1" t="str">
        <f>"ZBC3E08F07"</f>
        <v>ZBC3E08F07</v>
      </c>
      <c r="B1948" s="1" t="str">
        <f t="shared" si="40"/>
        <v>02406911202</v>
      </c>
      <c r="C1948" s="1" t="s">
        <v>13</v>
      </c>
      <c r="D1948" s="1" t="s">
        <v>264</v>
      </c>
      <c r="E1948" s="1" t="s">
        <v>1978</v>
      </c>
      <c r="F1948" s="1" t="s">
        <v>158</v>
      </c>
      <c r="G1948" s="1" t="str">
        <f>"02236190233"</f>
        <v>02236190233</v>
      </c>
      <c r="I1948" s="1" t="s">
        <v>325</v>
      </c>
      <c r="L1948" s="1" t="s">
        <v>43</v>
      </c>
      <c r="M1948" s="1">
        <v>20000</v>
      </c>
      <c r="AG1948" s="1">
        <v>0</v>
      </c>
      <c r="AH1948" s="2">
        <v>45289</v>
      </c>
      <c r="AI1948" s="2">
        <v>45289</v>
      </c>
      <c r="AJ1948" s="2">
        <v>45289</v>
      </c>
    </row>
    <row r="1949" spans="1:36">
      <c r="A1949" s="1" t="str">
        <f>"ZBD3D4569F"</f>
        <v>ZBD3D4569F</v>
      </c>
      <c r="B1949" s="1" t="str">
        <f t="shared" si="40"/>
        <v>02406911202</v>
      </c>
      <c r="C1949" s="1" t="s">
        <v>13</v>
      </c>
      <c r="D1949" s="1" t="s">
        <v>177</v>
      </c>
      <c r="E1949" s="1" t="s">
        <v>1979</v>
      </c>
      <c r="F1949" s="1" t="s">
        <v>158</v>
      </c>
      <c r="G1949" s="1" t="str">
        <f>"91190200377"</f>
        <v>91190200377</v>
      </c>
      <c r="I1949" s="1" t="s">
        <v>1980</v>
      </c>
      <c r="L1949" s="1" t="s">
        <v>43</v>
      </c>
      <c r="M1949" s="1">
        <v>2000</v>
      </c>
      <c r="AG1949" s="1">
        <v>0</v>
      </c>
      <c r="AH1949" s="2">
        <v>45139</v>
      </c>
      <c r="AI1949" s="2">
        <v>45291</v>
      </c>
      <c r="AJ1949" s="2">
        <v>45139</v>
      </c>
    </row>
    <row r="1950" spans="1:36">
      <c r="A1950" s="1" t="str">
        <f>"ZBD3D7000C"</f>
        <v>ZBD3D7000C</v>
      </c>
      <c r="B1950" s="1" t="str">
        <f t="shared" si="40"/>
        <v>02406911202</v>
      </c>
      <c r="C1950" s="1" t="s">
        <v>13</v>
      </c>
      <c r="D1950" s="1" t="s">
        <v>180</v>
      </c>
      <c r="E1950" s="1" t="s">
        <v>279</v>
      </c>
      <c r="F1950" s="1" t="s">
        <v>158</v>
      </c>
      <c r="G1950" s="1" t="str">
        <f>"07484470153"</f>
        <v>07484470153</v>
      </c>
      <c r="I1950" s="1" t="s">
        <v>702</v>
      </c>
      <c r="L1950" s="1" t="s">
        <v>43</v>
      </c>
      <c r="M1950" s="1">
        <v>5000</v>
      </c>
      <c r="AG1950" s="1">
        <v>0</v>
      </c>
      <c r="AH1950" s="2">
        <v>45254</v>
      </c>
      <c r="AI1950" s="2">
        <v>45657</v>
      </c>
      <c r="AJ1950" s="2">
        <v>45254</v>
      </c>
    </row>
    <row r="1951" spans="1:36">
      <c r="A1951" s="1" t="str">
        <f>"ZBE3CAC7A4"</f>
        <v>ZBE3CAC7A4</v>
      </c>
      <c r="B1951" s="1" t="str">
        <f t="shared" si="40"/>
        <v>02406911202</v>
      </c>
      <c r="C1951" s="1" t="s">
        <v>13</v>
      </c>
      <c r="D1951" s="1" t="s">
        <v>186</v>
      </c>
      <c r="E1951" s="1" t="s">
        <v>1981</v>
      </c>
      <c r="F1951" s="1" t="s">
        <v>158</v>
      </c>
      <c r="G1951" s="1" t="str">
        <f>"01865630287"</f>
        <v>01865630287</v>
      </c>
      <c r="I1951" s="1" t="s">
        <v>234</v>
      </c>
      <c r="L1951" s="1" t="s">
        <v>43</v>
      </c>
      <c r="M1951" s="1">
        <v>4999</v>
      </c>
      <c r="AG1951" s="1">
        <v>618.21</v>
      </c>
      <c r="AH1951" s="2">
        <v>45201</v>
      </c>
      <c r="AI1951" s="2">
        <v>45657</v>
      </c>
      <c r="AJ1951" s="2">
        <v>45201</v>
      </c>
    </row>
    <row r="1952" spans="1:36">
      <c r="A1952" s="1" t="str">
        <f>"ZBE3CCC968"</f>
        <v>ZBE3CCC968</v>
      </c>
      <c r="B1952" s="1" t="str">
        <f t="shared" si="40"/>
        <v>02406911202</v>
      </c>
      <c r="C1952" s="1" t="s">
        <v>13</v>
      </c>
      <c r="D1952" s="1" t="s">
        <v>186</v>
      </c>
      <c r="E1952" s="1" t="s">
        <v>1982</v>
      </c>
      <c r="F1952" s="1" t="s">
        <v>158</v>
      </c>
      <c r="G1952" s="1" t="str">
        <f>"09653091000"</f>
        <v>09653091000</v>
      </c>
      <c r="I1952" s="1" t="s">
        <v>1983</v>
      </c>
      <c r="L1952" s="1" t="s">
        <v>43</v>
      </c>
      <c r="M1952" s="1">
        <v>4990</v>
      </c>
      <c r="AG1952" s="1">
        <v>0</v>
      </c>
      <c r="AH1952" s="2">
        <v>45210</v>
      </c>
      <c r="AI1952" s="2">
        <v>45576</v>
      </c>
      <c r="AJ1952" s="2">
        <v>45210</v>
      </c>
    </row>
    <row r="1953" spans="1:36">
      <c r="A1953" s="1" t="str">
        <f>"ZBE3CD8F76"</f>
        <v>ZBE3CD8F76</v>
      </c>
      <c r="B1953" s="1" t="str">
        <f t="shared" si="40"/>
        <v>02406911202</v>
      </c>
      <c r="C1953" s="1" t="s">
        <v>13</v>
      </c>
      <c r="D1953" s="1" t="s">
        <v>264</v>
      </c>
      <c r="E1953" s="1" t="s">
        <v>1984</v>
      </c>
      <c r="F1953" s="1" t="s">
        <v>158</v>
      </c>
      <c r="G1953" s="1" t="str">
        <f>"04678121007"</f>
        <v>04678121007</v>
      </c>
      <c r="I1953" s="1" t="s">
        <v>1985</v>
      </c>
      <c r="L1953" s="1" t="s">
        <v>43</v>
      </c>
      <c r="M1953" s="1">
        <v>5000</v>
      </c>
      <c r="AG1953" s="1">
        <v>0</v>
      </c>
      <c r="AH1953" s="2">
        <v>45212</v>
      </c>
      <c r="AI1953" s="2">
        <v>45291</v>
      </c>
      <c r="AJ1953" s="2">
        <v>45212</v>
      </c>
    </row>
    <row r="1954" spans="1:36">
      <c r="A1954" s="1" t="str">
        <f>"ZBE3D268BC"</f>
        <v>ZBE3D268BC</v>
      </c>
      <c r="B1954" s="1" t="str">
        <f t="shared" si="40"/>
        <v>02406911202</v>
      </c>
      <c r="C1954" s="1" t="s">
        <v>13</v>
      </c>
      <c r="D1954" s="1" t="s">
        <v>180</v>
      </c>
      <c r="E1954" s="1" t="s">
        <v>281</v>
      </c>
      <c r="F1954" s="1" t="s">
        <v>158</v>
      </c>
      <c r="G1954" s="1" t="str">
        <f>"09270550016"</f>
        <v>09270550016</v>
      </c>
      <c r="I1954" s="1" t="s">
        <v>406</v>
      </c>
      <c r="L1954" s="1" t="s">
        <v>43</v>
      </c>
      <c r="M1954" s="1">
        <v>6000</v>
      </c>
      <c r="AG1954" s="1">
        <v>0</v>
      </c>
      <c r="AH1954" s="2">
        <v>45237</v>
      </c>
      <c r="AI1954" s="2">
        <v>45291</v>
      </c>
      <c r="AJ1954" s="2">
        <v>45237</v>
      </c>
    </row>
    <row r="1955" spans="1:36">
      <c r="A1955" s="1" t="str">
        <f>"ZBE3D64411"</f>
        <v>ZBE3D64411</v>
      </c>
      <c r="B1955" s="1" t="str">
        <f t="shared" si="40"/>
        <v>02406911202</v>
      </c>
      <c r="C1955" s="1" t="s">
        <v>13</v>
      </c>
      <c r="D1955" s="1" t="s">
        <v>177</v>
      </c>
      <c r="E1955" s="1" t="s">
        <v>1986</v>
      </c>
      <c r="F1955" s="1" t="s">
        <v>158</v>
      </c>
      <c r="G1955" s="1" t="str">
        <f>"03700700374"</f>
        <v>03700700374</v>
      </c>
      <c r="I1955" s="1" t="s">
        <v>1987</v>
      </c>
      <c r="L1955" s="1" t="s">
        <v>43</v>
      </c>
      <c r="M1955" s="1">
        <v>601000</v>
      </c>
      <c r="AG1955" s="1">
        <v>0</v>
      </c>
      <c r="AH1955" s="2">
        <v>45231</v>
      </c>
      <c r="AI1955" s="2">
        <v>45961</v>
      </c>
      <c r="AJ1955" s="2">
        <v>45231</v>
      </c>
    </row>
    <row r="1956" spans="1:36">
      <c r="A1956" s="1" t="str">
        <f>"ZBF3CA1B59"</f>
        <v>ZBF3CA1B59</v>
      </c>
      <c r="B1956" s="1" t="str">
        <f t="shared" si="40"/>
        <v>02406911202</v>
      </c>
      <c r="C1956" s="1" t="s">
        <v>13</v>
      </c>
      <c r="D1956" s="1" t="s">
        <v>180</v>
      </c>
      <c r="E1956" s="1" t="s">
        <v>281</v>
      </c>
      <c r="F1956" s="1" t="s">
        <v>158</v>
      </c>
      <c r="G1956" s="1" t="str">
        <f>"07077990013"</f>
        <v>07077990013</v>
      </c>
      <c r="I1956" s="1" t="s">
        <v>554</v>
      </c>
      <c r="L1956" s="1" t="s">
        <v>43</v>
      </c>
      <c r="M1956" s="1">
        <v>6000</v>
      </c>
      <c r="AG1956" s="1">
        <v>6292.5</v>
      </c>
      <c r="AH1956" s="2">
        <v>45197</v>
      </c>
      <c r="AI1956" s="2">
        <v>45291</v>
      </c>
      <c r="AJ1956" s="2">
        <v>45197</v>
      </c>
    </row>
    <row r="1957" spans="1:36">
      <c r="A1957" s="1" t="str">
        <f>"ZBF3D4BE1C"</f>
        <v>ZBF3D4BE1C</v>
      </c>
      <c r="B1957" s="1" t="str">
        <f t="shared" si="40"/>
        <v>02406911202</v>
      </c>
      <c r="C1957" s="1" t="s">
        <v>13</v>
      </c>
      <c r="D1957" s="1" t="s">
        <v>180</v>
      </c>
      <c r="E1957" s="1" t="s">
        <v>281</v>
      </c>
      <c r="F1957" s="1" t="s">
        <v>158</v>
      </c>
      <c r="G1957" s="1" t="str">
        <f>"08082461008"</f>
        <v>08082461008</v>
      </c>
      <c r="I1957" s="1" t="s">
        <v>88</v>
      </c>
      <c r="L1957" s="1" t="s">
        <v>43</v>
      </c>
      <c r="M1957" s="1">
        <v>6000</v>
      </c>
      <c r="AG1957" s="1">
        <v>0</v>
      </c>
      <c r="AH1957" s="2">
        <v>45245</v>
      </c>
      <c r="AI1957" s="2">
        <v>45291</v>
      </c>
      <c r="AJ1957" s="2">
        <v>45245</v>
      </c>
    </row>
    <row r="1958" spans="1:36">
      <c r="A1958" s="1" t="str">
        <f>"ZBF3D97220"</f>
        <v>ZBF3D97220</v>
      </c>
      <c r="B1958" s="1" t="str">
        <f t="shared" si="40"/>
        <v>02406911202</v>
      </c>
      <c r="C1958" s="1" t="s">
        <v>13</v>
      </c>
      <c r="D1958" s="1" t="s">
        <v>167</v>
      </c>
      <c r="E1958" s="1" t="s">
        <v>1988</v>
      </c>
      <c r="F1958" s="1" t="s">
        <v>158</v>
      </c>
      <c r="G1958" s="1" t="str">
        <f>"04705810150"</f>
        <v>04705810150</v>
      </c>
      <c r="I1958" s="1" t="s">
        <v>1627</v>
      </c>
      <c r="L1958" s="1" t="s">
        <v>43</v>
      </c>
      <c r="M1958" s="1">
        <v>720</v>
      </c>
      <c r="AG1958" s="1">
        <v>0</v>
      </c>
      <c r="AH1958" s="2">
        <v>45261</v>
      </c>
      <c r="AI1958" s="2">
        <v>45291</v>
      </c>
      <c r="AJ1958" s="2">
        <v>45261</v>
      </c>
    </row>
    <row r="1959" spans="1:36">
      <c r="A1959" s="1" t="str">
        <f>"ZBF3DBC931"</f>
        <v>ZBF3DBC931</v>
      </c>
      <c r="B1959" s="1" t="str">
        <f t="shared" si="40"/>
        <v>02406911202</v>
      </c>
      <c r="C1959" s="1" t="s">
        <v>13</v>
      </c>
      <c r="D1959" s="1" t="s">
        <v>180</v>
      </c>
      <c r="E1959" s="1" t="s">
        <v>281</v>
      </c>
      <c r="F1959" s="1" t="s">
        <v>158</v>
      </c>
      <c r="G1959" s="1" t="str">
        <f>"02971380247"</f>
        <v>02971380247</v>
      </c>
      <c r="I1959" s="1" t="s">
        <v>1698</v>
      </c>
      <c r="L1959" s="1" t="s">
        <v>43</v>
      </c>
      <c r="M1959" s="1">
        <v>5000</v>
      </c>
      <c r="AG1959" s="1">
        <v>0</v>
      </c>
      <c r="AH1959" s="2">
        <v>45279</v>
      </c>
      <c r="AI1959" s="2">
        <v>45657</v>
      </c>
      <c r="AJ1959" s="2">
        <v>45279</v>
      </c>
    </row>
    <row r="1960" spans="1:36">
      <c r="A1960" s="1" t="str">
        <f>"ZC03D42181"</f>
        <v>ZC03D42181</v>
      </c>
      <c r="B1960" s="1" t="str">
        <f t="shared" si="40"/>
        <v>02406911202</v>
      </c>
      <c r="C1960" s="1" t="s">
        <v>13</v>
      </c>
      <c r="D1960" s="1" t="s">
        <v>180</v>
      </c>
      <c r="E1960" s="1" t="s">
        <v>281</v>
      </c>
      <c r="F1960" s="1" t="s">
        <v>158</v>
      </c>
      <c r="G1960" s="1" t="str">
        <f>"12572900152"</f>
        <v>12572900152</v>
      </c>
      <c r="I1960" s="1" t="s">
        <v>335</v>
      </c>
      <c r="L1960" s="1" t="s">
        <v>43</v>
      </c>
      <c r="M1960" s="1">
        <v>6000</v>
      </c>
      <c r="AG1960" s="1">
        <v>0</v>
      </c>
      <c r="AH1960" s="2">
        <v>45244</v>
      </c>
      <c r="AI1960" s="2">
        <v>45291</v>
      </c>
      <c r="AJ1960" s="2">
        <v>45244</v>
      </c>
    </row>
    <row r="1961" spans="1:36">
      <c r="A1961" s="1" t="str">
        <f>"ZC03D4DCC6"</f>
        <v>ZC03D4DCC6</v>
      </c>
      <c r="B1961" s="1" t="str">
        <f t="shared" si="40"/>
        <v>02406911202</v>
      </c>
      <c r="C1961" s="1" t="s">
        <v>13</v>
      </c>
      <c r="D1961" s="1" t="s">
        <v>164</v>
      </c>
      <c r="E1961" s="1" t="s">
        <v>1989</v>
      </c>
      <c r="F1961" s="1" t="s">
        <v>158</v>
      </c>
      <c r="H1961" s="1" t="str">
        <f>"188320958"</f>
        <v>188320958</v>
      </c>
      <c r="I1961" s="1" t="s">
        <v>1990</v>
      </c>
      <c r="L1961" s="1" t="s">
        <v>43</v>
      </c>
      <c r="M1961" s="1">
        <v>1500</v>
      </c>
      <c r="AG1961" s="1">
        <v>0</v>
      </c>
      <c r="AH1961" s="2">
        <v>45246</v>
      </c>
      <c r="AI1961" s="2">
        <v>45291</v>
      </c>
      <c r="AJ1961" s="2">
        <v>45246</v>
      </c>
    </row>
    <row r="1962" spans="1:36">
      <c r="A1962" s="1" t="str">
        <f>"ZC03D7B34D"</f>
        <v>ZC03D7B34D</v>
      </c>
      <c r="B1962" s="1" t="str">
        <f t="shared" si="40"/>
        <v>02406911202</v>
      </c>
      <c r="C1962" s="1" t="s">
        <v>13</v>
      </c>
      <c r="D1962" s="1" t="s">
        <v>180</v>
      </c>
      <c r="E1962" s="1" t="s">
        <v>296</v>
      </c>
      <c r="F1962" s="1" t="s">
        <v>158</v>
      </c>
      <c r="G1962" s="1" t="str">
        <f>"11160660152"</f>
        <v>11160660152</v>
      </c>
      <c r="I1962" s="1" t="s">
        <v>457</v>
      </c>
      <c r="L1962" s="1" t="s">
        <v>43</v>
      </c>
      <c r="M1962" s="1">
        <v>6000</v>
      </c>
      <c r="AG1962" s="1">
        <v>0</v>
      </c>
      <c r="AH1962" s="2">
        <v>45261</v>
      </c>
      <c r="AI1962" s="2">
        <v>45291</v>
      </c>
      <c r="AJ1962" s="2">
        <v>45261</v>
      </c>
    </row>
    <row r="1963" spans="1:36">
      <c r="A1963" s="1" t="str">
        <f>"ZC13C9B009"</f>
        <v>ZC13C9B009</v>
      </c>
      <c r="B1963" s="1" t="str">
        <f t="shared" si="40"/>
        <v>02406911202</v>
      </c>
      <c r="C1963" s="1" t="s">
        <v>13</v>
      </c>
      <c r="D1963" s="1" t="s">
        <v>180</v>
      </c>
      <c r="E1963" s="1" t="s">
        <v>281</v>
      </c>
      <c r="F1963" s="1" t="s">
        <v>158</v>
      </c>
      <c r="G1963" s="1" t="str">
        <f>"10517560156"</f>
        <v>10517560156</v>
      </c>
      <c r="I1963" s="1" t="s">
        <v>333</v>
      </c>
      <c r="L1963" s="1" t="s">
        <v>43</v>
      </c>
      <c r="M1963" s="1">
        <v>6000</v>
      </c>
      <c r="AG1963" s="1">
        <v>7049.5</v>
      </c>
      <c r="AH1963" s="2">
        <v>45196</v>
      </c>
      <c r="AI1963" s="2">
        <v>45291</v>
      </c>
      <c r="AJ1963" s="2">
        <v>45196</v>
      </c>
    </row>
    <row r="1964" spans="1:36">
      <c r="A1964" s="1" t="str">
        <f>"ZC13CAF87E"</f>
        <v>ZC13CAF87E</v>
      </c>
      <c r="B1964" s="1" t="str">
        <f t="shared" si="40"/>
        <v>02406911202</v>
      </c>
      <c r="C1964" s="1" t="s">
        <v>13</v>
      </c>
      <c r="D1964" s="1" t="s">
        <v>264</v>
      </c>
      <c r="E1964" s="1" t="s">
        <v>1991</v>
      </c>
      <c r="F1964" s="1" t="s">
        <v>158</v>
      </c>
      <c r="G1964" s="1" t="str">
        <f>"03831290287"</f>
        <v>03831290287</v>
      </c>
      <c r="I1964" s="1" t="s">
        <v>1863</v>
      </c>
      <c r="L1964" s="1" t="s">
        <v>43</v>
      </c>
      <c r="M1964" s="1">
        <v>39000</v>
      </c>
      <c r="AG1964" s="1">
        <v>0</v>
      </c>
      <c r="AH1964" s="2">
        <v>45200</v>
      </c>
      <c r="AI1964" s="2">
        <v>45291</v>
      </c>
      <c r="AJ1964" s="2">
        <v>45200</v>
      </c>
    </row>
    <row r="1965" spans="1:36">
      <c r="A1965" s="1" t="str">
        <f>"ZC13CE2E20"</f>
        <v>ZC13CE2E20</v>
      </c>
      <c r="B1965" s="1" t="str">
        <f t="shared" si="40"/>
        <v>02406911202</v>
      </c>
      <c r="C1965" s="1" t="s">
        <v>13</v>
      </c>
      <c r="D1965" s="1" t="s">
        <v>264</v>
      </c>
      <c r="E1965" s="1" t="s">
        <v>1992</v>
      </c>
      <c r="F1965" s="1" t="s">
        <v>158</v>
      </c>
      <c r="G1965" s="1" t="str">
        <f>"01769780675"</f>
        <v>01769780675</v>
      </c>
      <c r="I1965" s="1" t="s">
        <v>750</v>
      </c>
      <c r="L1965" s="1" t="s">
        <v>43</v>
      </c>
      <c r="M1965" s="1">
        <v>405</v>
      </c>
      <c r="AG1965" s="1">
        <v>0</v>
      </c>
      <c r="AH1965" s="2">
        <v>45216</v>
      </c>
      <c r="AI1965" s="2">
        <v>45223</v>
      </c>
      <c r="AJ1965" s="2">
        <v>45216</v>
      </c>
    </row>
    <row r="1966" spans="1:36">
      <c r="A1966" s="1" t="str">
        <f>"ZC13D1106B"</f>
        <v>ZC13D1106B</v>
      </c>
      <c r="B1966" s="1" t="str">
        <f t="shared" si="40"/>
        <v>02406911202</v>
      </c>
      <c r="C1966" s="1" t="s">
        <v>13</v>
      </c>
      <c r="D1966" s="1" t="s">
        <v>186</v>
      </c>
      <c r="E1966" s="1" t="s">
        <v>1993</v>
      </c>
      <c r="F1966" s="1" t="s">
        <v>158</v>
      </c>
      <c r="G1966" s="1" t="str">
        <f>"00322800376"</f>
        <v>00322800376</v>
      </c>
      <c r="I1966" s="1" t="s">
        <v>329</v>
      </c>
      <c r="L1966" s="1" t="s">
        <v>43</v>
      </c>
      <c r="M1966" s="1">
        <v>4999</v>
      </c>
      <c r="AG1966" s="1">
        <v>0</v>
      </c>
      <c r="AH1966" s="2">
        <v>45229</v>
      </c>
      <c r="AI1966" s="2">
        <v>45960</v>
      </c>
      <c r="AJ1966" s="2">
        <v>45229</v>
      </c>
    </row>
    <row r="1967" spans="1:36">
      <c r="A1967" s="1" t="str">
        <f>"ZC13D97791"</f>
        <v>ZC13D97791</v>
      </c>
      <c r="B1967" s="1" t="str">
        <f t="shared" si="40"/>
        <v>02406911202</v>
      </c>
      <c r="C1967" s="1" t="s">
        <v>13</v>
      </c>
      <c r="D1967" s="1" t="s">
        <v>186</v>
      </c>
      <c r="E1967" s="1" t="s">
        <v>1994</v>
      </c>
      <c r="F1967" s="1" t="s">
        <v>158</v>
      </c>
      <c r="G1967" s="1" t="str">
        <f>"00759430267"</f>
        <v>00759430267</v>
      </c>
      <c r="I1967" s="1" t="s">
        <v>327</v>
      </c>
      <c r="L1967" s="1" t="s">
        <v>43</v>
      </c>
      <c r="M1967" s="1">
        <v>4999</v>
      </c>
      <c r="AG1967" s="1">
        <v>0</v>
      </c>
      <c r="AH1967" s="2">
        <v>45264</v>
      </c>
      <c r="AI1967" s="2">
        <v>46022</v>
      </c>
      <c r="AJ1967" s="2">
        <v>45264</v>
      </c>
    </row>
    <row r="1968" spans="1:36">
      <c r="A1968" s="1" t="str">
        <f>"ZC13DB69A5"</f>
        <v>ZC13DB69A5</v>
      </c>
      <c r="B1968" s="1" t="str">
        <f t="shared" si="40"/>
        <v>02406911202</v>
      </c>
      <c r="C1968" s="1" t="s">
        <v>13</v>
      </c>
      <c r="D1968" s="1" t="s">
        <v>167</v>
      </c>
      <c r="E1968" s="1" t="s">
        <v>1995</v>
      </c>
      <c r="F1968" s="1" t="s">
        <v>158</v>
      </c>
      <c r="G1968" s="1" t="str">
        <f>"08526500155"</f>
        <v>08526500155</v>
      </c>
      <c r="I1968" s="1" t="s">
        <v>1996</v>
      </c>
      <c r="L1968" s="1" t="s">
        <v>43</v>
      </c>
      <c r="M1968" s="1">
        <v>1008</v>
      </c>
      <c r="AG1968" s="1">
        <v>0</v>
      </c>
      <c r="AH1968" s="2">
        <v>45273</v>
      </c>
      <c r="AI1968" s="2">
        <v>45273</v>
      </c>
      <c r="AJ1968" s="2">
        <v>45273</v>
      </c>
    </row>
    <row r="1969" spans="1:36">
      <c r="A1969" s="1" t="str">
        <f>"ZC23CAF8C3"</f>
        <v>ZC23CAF8C3</v>
      </c>
      <c r="B1969" s="1" t="str">
        <f t="shared" si="40"/>
        <v>02406911202</v>
      </c>
      <c r="C1969" s="1" t="s">
        <v>13</v>
      </c>
      <c r="D1969" s="1" t="s">
        <v>264</v>
      </c>
      <c r="E1969" s="1" t="s">
        <v>1997</v>
      </c>
      <c r="F1969" s="1" t="s">
        <v>158</v>
      </c>
      <c r="G1969" s="1" t="str">
        <f>"08817300158"</f>
        <v>08817300158</v>
      </c>
      <c r="I1969" s="1" t="s">
        <v>961</v>
      </c>
      <c r="L1969" s="1" t="s">
        <v>43</v>
      </c>
      <c r="M1969" s="1">
        <v>39000</v>
      </c>
      <c r="AG1969" s="1">
        <v>1041.0999999999999</v>
      </c>
      <c r="AH1969" s="2">
        <v>45200</v>
      </c>
      <c r="AI1969" s="2">
        <v>45291</v>
      </c>
      <c r="AJ1969" s="2">
        <v>45200</v>
      </c>
    </row>
    <row r="1970" spans="1:36">
      <c r="A1970" s="1" t="str">
        <f>"ZC23CC085A"</f>
        <v>ZC23CC085A</v>
      </c>
      <c r="B1970" s="1" t="str">
        <f t="shared" si="40"/>
        <v>02406911202</v>
      </c>
      <c r="C1970" s="1" t="s">
        <v>13</v>
      </c>
      <c r="D1970" s="1" t="s">
        <v>164</v>
      </c>
      <c r="E1970" s="1" t="s">
        <v>1998</v>
      </c>
      <c r="F1970" s="1" t="s">
        <v>39</v>
      </c>
      <c r="G1970" s="1" t="str">
        <f>"06566820152"</f>
        <v>06566820152</v>
      </c>
      <c r="I1970" s="1" t="s">
        <v>1999</v>
      </c>
      <c r="L1970" s="1" t="s">
        <v>43</v>
      </c>
      <c r="M1970" s="1">
        <v>38312.5</v>
      </c>
      <c r="AG1970" s="1">
        <v>0</v>
      </c>
      <c r="AH1970" s="2">
        <v>45205</v>
      </c>
      <c r="AI1970" s="2">
        <v>45291</v>
      </c>
      <c r="AJ1970" s="2">
        <v>45205</v>
      </c>
    </row>
    <row r="1971" spans="1:36">
      <c r="A1971" s="1" t="str">
        <f>"ZC23CEBF81"</f>
        <v>ZC23CEBF81</v>
      </c>
      <c r="B1971" s="1" t="str">
        <f t="shared" si="40"/>
        <v>02406911202</v>
      </c>
      <c r="C1971" s="1" t="s">
        <v>13</v>
      </c>
      <c r="D1971" s="1" t="s">
        <v>180</v>
      </c>
      <c r="E1971" s="1" t="s">
        <v>281</v>
      </c>
      <c r="F1971" s="1" t="s">
        <v>158</v>
      </c>
      <c r="G1971" s="1" t="str">
        <f>"00972790109"</f>
        <v>00972790109</v>
      </c>
      <c r="I1971" s="1" t="s">
        <v>934</v>
      </c>
      <c r="L1971" s="1" t="s">
        <v>43</v>
      </c>
      <c r="M1971" s="1">
        <v>6000</v>
      </c>
      <c r="AG1971" s="1">
        <v>0</v>
      </c>
      <c r="AH1971" s="2">
        <v>45217</v>
      </c>
      <c r="AI1971" s="2">
        <v>45291</v>
      </c>
      <c r="AJ1971" s="2">
        <v>45217</v>
      </c>
    </row>
    <row r="1972" spans="1:36">
      <c r="A1972" s="1" t="str">
        <f>"ZC23D7ABFF"</f>
        <v>ZC23D7ABFF</v>
      </c>
      <c r="B1972" s="1" t="str">
        <f t="shared" si="40"/>
        <v>02406911202</v>
      </c>
      <c r="C1972" s="1" t="s">
        <v>13</v>
      </c>
      <c r="D1972" s="1" t="s">
        <v>180</v>
      </c>
      <c r="E1972" s="1" t="s">
        <v>181</v>
      </c>
      <c r="F1972" s="1" t="s">
        <v>158</v>
      </c>
      <c r="G1972" s="1" t="str">
        <f>"97254170588"</f>
        <v>97254170588</v>
      </c>
      <c r="I1972" s="1" t="s">
        <v>2000</v>
      </c>
      <c r="L1972" s="1" t="s">
        <v>43</v>
      </c>
      <c r="M1972" s="1">
        <v>5000</v>
      </c>
      <c r="AG1972" s="1">
        <v>0</v>
      </c>
      <c r="AH1972" s="2">
        <v>45258</v>
      </c>
      <c r="AI1972" s="2">
        <v>45291</v>
      </c>
      <c r="AJ1972" s="2">
        <v>45258</v>
      </c>
    </row>
    <row r="1973" spans="1:36">
      <c r="A1973" s="1" t="str">
        <f>"ZC23DB7A95"</f>
        <v>ZC23DB7A95</v>
      </c>
      <c r="B1973" s="1" t="str">
        <f t="shared" si="40"/>
        <v>02406911202</v>
      </c>
      <c r="C1973" s="1" t="s">
        <v>13</v>
      </c>
      <c r="D1973" s="1" t="s">
        <v>180</v>
      </c>
      <c r="E1973" s="1" t="s">
        <v>185</v>
      </c>
      <c r="F1973" s="1" t="s">
        <v>158</v>
      </c>
      <c r="G1973" s="1" t="str">
        <f>"02789580590"</f>
        <v>02789580590</v>
      </c>
      <c r="I1973" s="1" t="s">
        <v>182</v>
      </c>
      <c r="L1973" s="1" t="s">
        <v>43</v>
      </c>
      <c r="M1973" s="1">
        <v>5000</v>
      </c>
      <c r="AG1973" s="1">
        <v>0</v>
      </c>
      <c r="AH1973" s="2">
        <v>45272</v>
      </c>
      <c r="AI1973" s="2">
        <v>45657</v>
      </c>
      <c r="AJ1973" s="2">
        <v>45272</v>
      </c>
    </row>
    <row r="1974" spans="1:36">
      <c r="A1974" s="1" t="str">
        <f>"ZC33DA2C83"</f>
        <v>ZC33DA2C83</v>
      </c>
      <c r="B1974" s="1" t="str">
        <f t="shared" si="40"/>
        <v>02406911202</v>
      </c>
      <c r="C1974" s="1" t="s">
        <v>13</v>
      </c>
      <c r="D1974" s="1" t="s">
        <v>177</v>
      </c>
      <c r="E1974" s="1" t="s">
        <v>2001</v>
      </c>
      <c r="F1974" s="1" t="s">
        <v>158</v>
      </c>
      <c r="G1974" s="1" t="str">
        <f>"91396900374"</f>
        <v>91396900374</v>
      </c>
      <c r="I1974" s="1" t="s">
        <v>2002</v>
      </c>
      <c r="L1974" s="1" t="s">
        <v>43</v>
      </c>
      <c r="M1974" s="1">
        <v>3500</v>
      </c>
      <c r="AG1974" s="1">
        <v>0</v>
      </c>
      <c r="AH1974" s="2">
        <v>45200</v>
      </c>
      <c r="AI1974" s="2">
        <v>45291</v>
      </c>
      <c r="AJ1974" s="2">
        <v>45200</v>
      </c>
    </row>
    <row r="1975" spans="1:36">
      <c r="A1975" s="1" t="str">
        <f>"ZC43CB18AD"</f>
        <v>ZC43CB18AD</v>
      </c>
      <c r="B1975" s="1" t="str">
        <f t="shared" si="40"/>
        <v>02406911202</v>
      </c>
      <c r="C1975" s="1" t="s">
        <v>13</v>
      </c>
      <c r="D1975" s="1" t="s">
        <v>177</v>
      </c>
      <c r="E1975" s="1" t="s">
        <v>2003</v>
      </c>
      <c r="F1975" s="1" t="s">
        <v>158</v>
      </c>
      <c r="G1975" s="1" t="str">
        <f>"16444601005"</f>
        <v>16444601005</v>
      </c>
      <c r="I1975" s="1" t="s">
        <v>2004</v>
      </c>
      <c r="L1975" s="1" t="s">
        <v>43</v>
      </c>
      <c r="M1975" s="1">
        <v>7377.05</v>
      </c>
      <c r="AG1975" s="1">
        <v>7377.05</v>
      </c>
      <c r="AH1975" s="2">
        <v>45202</v>
      </c>
      <c r="AI1975" s="2">
        <v>45291</v>
      </c>
      <c r="AJ1975" s="2">
        <v>45202</v>
      </c>
    </row>
    <row r="1976" spans="1:36">
      <c r="A1976" s="1" t="str">
        <f>"ZC43CFFCBC"</f>
        <v>ZC43CFFCBC</v>
      </c>
      <c r="B1976" s="1" t="str">
        <f t="shared" si="40"/>
        <v>02406911202</v>
      </c>
      <c r="C1976" s="1" t="s">
        <v>13</v>
      </c>
      <c r="D1976" s="1" t="s">
        <v>180</v>
      </c>
      <c r="E1976" s="1" t="s">
        <v>279</v>
      </c>
      <c r="F1976" s="1" t="s">
        <v>158</v>
      </c>
      <c r="G1976" s="1" t="str">
        <f>"10767630154"</f>
        <v>10767630154</v>
      </c>
      <c r="I1976" s="1" t="s">
        <v>2005</v>
      </c>
      <c r="L1976" s="1" t="s">
        <v>43</v>
      </c>
      <c r="M1976" s="1">
        <v>5000</v>
      </c>
      <c r="AG1976" s="1">
        <v>1453.9</v>
      </c>
      <c r="AH1976" s="2">
        <v>45224</v>
      </c>
      <c r="AI1976" s="2">
        <v>45657</v>
      </c>
      <c r="AJ1976" s="2">
        <v>45224</v>
      </c>
    </row>
    <row r="1977" spans="1:36">
      <c r="A1977" s="1" t="str">
        <f>"ZC53B9F945"</f>
        <v>ZC53B9F945</v>
      </c>
      <c r="B1977" s="1" t="str">
        <f t="shared" si="40"/>
        <v>02406911202</v>
      </c>
      <c r="C1977" s="1" t="s">
        <v>13</v>
      </c>
      <c r="D1977" s="1" t="s">
        <v>264</v>
      </c>
      <c r="E1977" s="1" t="s">
        <v>2006</v>
      </c>
      <c r="F1977" s="1" t="s">
        <v>158</v>
      </c>
      <c r="G1977" s="1" t="str">
        <f>"05067060011"</f>
        <v>05067060011</v>
      </c>
      <c r="I1977" s="1" t="s">
        <v>2007</v>
      </c>
      <c r="L1977" s="1" t="s">
        <v>43</v>
      </c>
      <c r="M1977" s="1">
        <v>2995.2</v>
      </c>
      <c r="AG1977" s="1">
        <v>0</v>
      </c>
      <c r="AH1977" s="2">
        <v>45222</v>
      </c>
      <c r="AI1977" s="2">
        <v>45952</v>
      </c>
      <c r="AJ1977" s="2">
        <v>45222</v>
      </c>
    </row>
    <row r="1978" spans="1:36">
      <c r="A1978" s="1" t="str">
        <f>"ZC53B9F945"</f>
        <v>ZC53B9F945</v>
      </c>
      <c r="B1978" s="1" t="str">
        <f t="shared" si="40"/>
        <v>02406911202</v>
      </c>
      <c r="C1978" s="1" t="s">
        <v>13</v>
      </c>
      <c r="D1978" s="1" t="s">
        <v>264</v>
      </c>
      <c r="E1978" s="1" t="s">
        <v>2006</v>
      </c>
      <c r="F1978" s="1" t="s">
        <v>158</v>
      </c>
      <c r="G1978" s="1" t="str">
        <f>"02704520341"</f>
        <v>02704520341</v>
      </c>
      <c r="I1978" s="1" t="s">
        <v>266</v>
      </c>
      <c r="L1978" s="1" t="s">
        <v>100</v>
      </c>
      <c r="AJ1978" s="2">
        <v>45222</v>
      </c>
    </row>
    <row r="1979" spans="1:36">
      <c r="A1979" s="1" t="str">
        <f>"ZC53CB1215"</f>
        <v>ZC53CB1215</v>
      </c>
      <c r="B1979" s="1" t="str">
        <f t="shared" si="40"/>
        <v>02406911202</v>
      </c>
      <c r="C1979" s="1" t="s">
        <v>13</v>
      </c>
      <c r="D1979" s="1" t="s">
        <v>186</v>
      </c>
      <c r="E1979" s="1" t="s">
        <v>2008</v>
      </c>
      <c r="F1979" s="1" t="s">
        <v>158</v>
      </c>
      <c r="G1979" s="1" t="str">
        <f>"09284460962"</f>
        <v>09284460962</v>
      </c>
      <c r="I1979" s="1" t="s">
        <v>1404</v>
      </c>
      <c r="L1979" s="1" t="s">
        <v>43</v>
      </c>
      <c r="M1979" s="1">
        <v>4999</v>
      </c>
      <c r="AG1979" s="1">
        <v>4571.2</v>
      </c>
      <c r="AH1979" s="2">
        <v>45202</v>
      </c>
      <c r="AI1979" s="2">
        <v>45291</v>
      </c>
      <c r="AJ1979" s="2">
        <v>45202</v>
      </c>
    </row>
    <row r="1980" spans="1:36">
      <c r="A1980" s="1" t="str">
        <f>"ZC53CBB4D7"</f>
        <v>ZC53CBB4D7</v>
      </c>
      <c r="B1980" s="1" t="str">
        <f t="shared" si="40"/>
        <v>02406911202</v>
      </c>
      <c r="C1980" s="1" t="s">
        <v>13</v>
      </c>
      <c r="D1980" s="1" t="s">
        <v>180</v>
      </c>
      <c r="E1980" s="1" t="s">
        <v>296</v>
      </c>
      <c r="F1980" s="1" t="s">
        <v>158</v>
      </c>
      <c r="G1980" s="1" t="str">
        <f>"11206730159"</f>
        <v>11206730159</v>
      </c>
      <c r="I1980" s="1" t="s">
        <v>68</v>
      </c>
      <c r="L1980" s="1" t="s">
        <v>43</v>
      </c>
      <c r="M1980" s="1">
        <v>6000</v>
      </c>
      <c r="AG1980" s="1">
        <v>0</v>
      </c>
      <c r="AH1980" s="2">
        <v>45204</v>
      </c>
      <c r="AI1980" s="2">
        <v>45291</v>
      </c>
      <c r="AJ1980" s="2">
        <v>45204</v>
      </c>
    </row>
    <row r="1981" spans="1:36">
      <c r="A1981" s="1" t="str">
        <f>"ZC53CE8772"</f>
        <v>ZC53CE8772</v>
      </c>
      <c r="B1981" s="1" t="str">
        <f t="shared" si="40"/>
        <v>02406911202</v>
      </c>
      <c r="C1981" s="1" t="s">
        <v>13</v>
      </c>
      <c r="D1981" s="1" t="s">
        <v>180</v>
      </c>
      <c r="E1981" s="1" t="s">
        <v>281</v>
      </c>
      <c r="F1981" s="1" t="s">
        <v>158</v>
      </c>
      <c r="G1981" s="1" t="str">
        <f>"12572900152"</f>
        <v>12572900152</v>
      </c>
      <c r="I1981" s="1" t="s">
        <v>335</v>
      </c>
      <c r="L1981" s="1" t="s">
        <v>43</v>
      </c>
      <c r="M1981" s="1">
        <v>6000</v>
      </c>
      <c r="AG1981" s="1">
        <v>1527.37</v>
      </c>
      <c r="AH1981" s="2">
        <v>45217</v>
      </c>
      <c r="AI1981" s="2">
        <v>45291</v>
      </c>
      <c r="AJ1981" s="2">
        <v>45217</v>
      </c>
    </row>
    <row r="1982" spans="1:36">
      <c r="A1982" s="1" t="str">
        <f>"ZC53CE9DFF"</f>
        <v>ZC53CE9DFF</v>
      </c>
      <c r="B1982" s="1" t="str">
        <f t="shared" si="40"/>
        <v>02406911202</v>
      </c>
      <c r="C1982" s="1" t="s">
        <v>13</v>
      </c>
      <c r="D1982" s="1" t="s">
        <v>180</v>
      </c>
      <c r="E1982" s="1" t="s">
        <v>244</v>
      </c>
      <c r="F1982" s="1" t="s">
        <v>158</v>
      </c>
      <c r="G1982" s="1" t="str">
        <f>"07123400157"</f>
        <v>07123400157</v>
      </c>
      <c r="I1982" s="1" t="s">
        <v>120</v>
      </c>
      <c r="L1982" s="1" t="s">
        <v>43</v>
      </c>
      <c r="M1982" s="1">
        <v>5000</v>
      </c>
      <c r="AG1982" s="1">
        <v>3305</v>
      </c>
      <c r="AH1982" s="2">
        <v>45219</v>
      </c>
      <c r="AI1982" s="2">
        <v>45291</v>
      </c>
      <c r="AJ1982" s="2">
        <v>45219</v>
      </c>
    </row>
    <row r="1983" spans="1:36">
      <c r="A1983" s="1" t="str">
        <f>"ZC53D1AE5F"</f>
        <v>ZC53D1AE5F</v>
      </c>
      <c r="B1983" s="1" t="str">
        <f t="shared" si="40"/>
        <v>02406911202</v>
      </c>
      <c r="C1983" s="1" t="s">
        <v>13</v>
      </c>
      <c r="D1983" s="1" t="s">
        <v>180</v>
      </c>
      <c r="E1983" s="1" t="s">
        <v>296</v>
      </c>
      <c r="F1983" s="1" t="s">
        <v>158</v>
      </c>
      <c r="G1983" s="1" t="str">
        <f>"00457930428"</f>
        <v>00457930428</v>
      </c>
      <c r="I1983" s="1" t="s">
        <v>2009</v>
      </c>
      <c r="L1983" s="1" t="s">
        <v>43</v>
      </c>
      <c r="M1983" s="1">
        <v>5000</v>
      </c>
      <c r="AG1983" s="1">
        <v>0</v>
      </c>
      <c r="AH1983" s="2">
        <v>45232</v>
      </c>
      <c r="AI1983" s="2">
        <v>45291</v>
      </c>
      <c r="AJ1983" s="2">
        <v>45232</v>
      </c>
    </row>
    <row r="1984" spans="1:36">
      <c r="A1984" s="1" t="str">
        <f>"ZC53DE6E5A"</f>
        <v>ZC53DE6E5A</v>
      </c>
      <c r="B1984" s="1" t="str">
        <f t="shared" si="40"/>
        <v>02406911202</v>
      </c>
      <c r="C1984" s="1" t="s">
        <v>13</v>
      </c>
      <c r="D1984" s="1" t="s">
        <v>167</v>
      </c>
      <c r="E1984" s="1" t="s">
        <v>2010</v>
      </c>
      <c r="F1984" s="1" t="s">
        <v>158</v>
      </c>
      <c r="G1984" s="1" t="str">
        <f>"00326930377"</f>
        <v>00326930377</v>
      </c>
      <c r="I1984" s="1" t="s">
        <v>1493</v>
      </c>
      <c r="L1984" s="1" t="s">
        <v>43</v>
      </c>
      <c r="M1984" s="1">
        <v>855</v>
      </c>
      <c r="AG1984" s="1">
        <v>0</v>
      </c>
      <c r="AH1984" s="2">
        <v>45281</v>
      </c>
      <c r="AI1984" s="2">
        <v>45291</v>
      </c>
      <c r="AJ1984" s="2">
        <v>45281</v>
      </c>
    </row>
    <row r="1985" spans="1:36">
      <c r="A1985" s="1" t="str">
        <f>"ZC63CAC7D6"</f>
        <v>ZC63CAC7D6</v>
      </c>
      <c r="B1985" s="1" t="str">
        <f t="shared" si="40"/>
        <v>02406911202</v>
      </c>
      <c r="C1985" s="1" t="s">
        <v>13</v>
      </c>
      <c r="D1985" s="1" t="s">
        <v>186</v>
      </c>
      <c r="E1985" s="1" t="s">
        <v>2011</v>
      </c>
      <c r="F1985" s="1" t="s">
        <v>158</v>
      </c>
      <c r="G1985" s="1" t="str">
        <f>"08864080158"</f>
        <v>08864080158</v>
      </c>
      <c r="I1985" s="1" t="s">
        <v>438</v>
      </c>
      <c r="L1985" s="1" t="s">
        <v>43</v>
      </c>
      <c r="M1985" s="1">
        <v>4999</v>
      </c>
      <c r="AG1985" s="1">
        <v>0</v>
      </c>
      <c r="AH1985" s="2">
        <v>45201</v>
      </c>
      <c r="AI1985" s="2">
        <v>45657</v>
      </c>
      <c r="AJ1985" s="2">
        <v>45201</v>
      </c>
    </row>
    <row r="1986" spans="1:36">
      <c r="A1986" s="1" t="str">
        <f>"ZC63CF5698"</f>
        <v>ZC63CF5698</v>
      </c>
      <c r="B1986" s="1" t="str">
        <f t="shared" ref="B1986:B2049" si="41">"02406911202"</f>
        <v>02406911202</v>
      </c>
      <c r="C1986" s="1" t="s">
        <v>13</v>
      </c>
      <c r="D1986" s="1" t="s">
        <v>186</v>
      </c>
      <c r="E1986" s="1" t="s">
        <v>2012</v>
      </c>
      <c r="F1986" s="1" t="s">
        <v>158</v>
      </c>
      <c r="G1986" s="1" t="str">
        <f>"01471280162"</f>
        <v>01471280162</v>
      </c>
      <c r="I1986" s="1" t="s">
        <v>1050</v>
      </c>
      <c r="L1986" s="1" t="s">
        <v>43</v>
      </c>
      <c r="M1986" s="1">
        <v>4999</v>
      </c>
      <c r="AG1986" s="1">
        <v>0</v>
      </c>
      <c r="AH1986" s="2">
        <v>45253</v>
      </c>
      <c r="AI1986" s="2">
        <v>46387</v>
      </c>
      <c r="AJ1986" s="2">
        <v>45253</v>
      </c>
    </row>
    <row r="1987" spans="1:36">
      <c r="A1987" s="1" t="str">
        <f>"ZC63CFACE0"</f>
        <v>ZC63CFACE0</v>
      </c>
      <c r="B1987" s="1" t="str">
        <f t="shared" si="41"/>
        <v>02406911202</v>
      </c>
      <c r="C1987" s="1" t="s">
        <v>13</v>
      </c>
      <c r="D1987" s="1" t="s">
        <v>186</v>
      </c>
      <c r="E1987" s="1" t="s">
        <v>2013</v>
      </c>
      <c r="F1987" s="1" t="s">
        <v>158</v>
      </c>
      <c r="G1987" s="1" t="str">
        <f>"00435080304"</f>
        <v>00435080304</v>
      </c>
      <c r="I1987" s="1" t="s">
        <v>753</v>
      </c>
      <c r="L1987" s="1" t="s">
        <v>43</v>
      </c>
      <c r="M1987" s="1">
        <v>4999</v>
      </c>
      <c r="AG1987" s="1">
        <v>0</v>
      </c>
      <c r="AH1987" s="2">
        <v>45223</v>
      </c>
      <c r="AI1987" s="2">
        <v>45657</v>
      </c>
      <c r="AJ1987" s="2">
        <v>45223</v>
      </c>
    </row>
    <row r="1988" spans="1:36">
      <c r="A1988" s="1" t="str">
        <f>"ZC63D337CF"</f>
        <v>ZC63D337CF</v>
      </c>
      <c r="B1988" s="1" t="str">
        <f t="shared" si="41"/>
        <v>02406911202</v>
      </c>
      <c r="C1988" s="1" t="s">
        <v>13</v>
      </c>
      <c r="D1988" s="1" t="s">
        <v>167</v>
      </c>
      <c r="E1988" s="1" t="s">
        <v>1662</v>
      </c>
      <c r="F1988" s="1" t="s">
        <v>151</v>
      </c>
      <c r="G1988" s="1" t="str">
        <f>"03318780966"</f>
        <v>03318780966</v>
      </c>
      <c r="I1988" s="1" t="s">
        <v>412</v>
      </c>
      <c r="L1988" s="1" t="s">
        <v>43</v>
      </c>
      <c r="M1988" s="1">
        <v>240</v>
      </c>
      <c r="AG1988" s="1">
        <v>0</v>
      </c>
      <c r="AH1988" s="2">
        <v>45239</v>
      </c>
      <c r="AI1988" s="2">
        <v>45351</v>
      </c>
      <c r="AJ1988" s="2">
        <v>45239</v>
      </c>
    </row>
    <row r="1989" spans="1:36">
      <c r="A1989" s="1" t="str">
        <f>"ZC63D50F6A"</f>
        <v>ZC63D50F6A</v>
      </c>
      <c r="B1989" s="1" t="str">
        <f t="shared" si="41"/>
        <v>02406911202</v>
      </c>
      <c r="C1989" s="1" t="s">
        <v>13</v>
      </c>
      <c r="D1989" s="1" t="s">
        <v>186</v>
      </c>
      <c r="E1989" s="1" t="s">
        <v>2014</v>
      </c>
      <c r="F1989" s="1" t="s">
        <v>158</v>
      </c>
      <c r="G1989" s="1" t="str">
        <f>"02504331204"</f>
        <v>02504331204</v>
      </c>
      <c r="I1989" s="1" t="s">
        <v>1599</v>
      </c>
      <c r="L1989" s="1" t="s">
        <v>43</v>
      </c>
      <c r="M1989" s="1">
        <v>39999</v>
      </c>
      <c r="AG1989" s="1">
        <v>0</v>
      </c>
      <c r="AH1989" s="2">
        <v>45278</v>
      </c>
      <c r="AI1989" s="2">
        <v>45992</v>
      </c>
      <c r="AJ1989" s="2">
        <v>45278</v>
      </c>
    </row>
    <row r="1990" spans="1:36">
      <c r="A1990" s="1" t="str">
        <f>"ZC63D7B2F5"</f>
        <v>ZC63D7B2F5</v>
      </c>
      <c r="B1990" s="1" t="str">
        <f t="shared" si="41"/>
        <v>02406911202</v>
      </c>
      <c r="C1990" s="1" t="s">
        <v>13</v>
      </c>
      <c r="D1990" s="1" t="s">
        <v>180</v>
      </c>
      <c r="E1990" s="1" t="s">
        <v>281</v>
      </c>
      <c r="F1990" s="1" t="s">
        <v>158</v>
      </c>
      <c r="G1990" s="1" t="str">
        <f>"03353370160"</f>
        <v>03353370160</v>
      </c>
      <c r="I1990" s="1" t="s">
        <v>478</v>
      </c>
      <c r="L1990" s="1" t="s">
        <v>43</v>
      </c>
      <c r="M1990" s="1">
        <v>5000</v>
      </c>
      <c r="AG1990" s="1">
        <v>0</v>
      </c>
      <c r="AH1990" s="2">
        <v>45267</v>
      </c>
      <c r="AI1990" s="2">
        <v>45291</v>
      </c>
      <c r="AJ1990" s="2">
        <v>45267</v>
      </c>
    </row>
    <row r="1991" spans="1:36">
      <c r="A1991" s="1" t="str">
        <f>"ZC63DFA669"</f>
        <v>ZC63DFA669</v>
      </c>
      <c r="B1991" s="1" t="str">
        <f t="shared" si="41"/>
        <v>02406911202</v>
      </c>
      <c r="C1991" s="1" t="s">
        <v>13</v>
      </c>
      <c r="D1991" s="1" t="s">
        <v>186</v>
      </c>
      <c r="E1991" s="1" t="s">
        <v>2015</v>
      </c>
      <c r="F1991" s="1" t="s">
        <v>158</v>
      </c>
      <c r="G1991" s="1" t="str">
        <f>"BNAGNN85H04A944H"</f>
        <v>BNAGNN85H04A944H</v>
      </c>
      <c r="I1991" s="1" t="s">
        <v>2016</v>
      </c>
      <c r="L1991" s="1" t="s">
        <v>43</v>
      </c>
      <c r="M1991" s="1">
        <v>450</v>
      </c>
      <c r="AG1991" s="1">
        <v>0</v>
      </c>
      <c r="AH1991" s="2">
        <v>45288</v>
      </c>
      <c r="AI1991" s="2">
        <v>45291</v>
      </c>
      <c r="AJ1991" s="2">
        <v>45288</v>
      </c>
    </row>
    <row r="1992" spans="1:36">
      <c r="A1992" s="1" t="str">
        <f>"ZC73C92186"</f>
        <v>ZC73C92186</v>
      </c>
      <c r="B1992" s="1" t="str">
        <f t="shared" si="41"/>
        <v>02406911202</v>
      </c>
      <c r="C1992" s="1" t="s">
        <v>13</v>
      </c>
      <c r="D1992" s="1" t="s">
        <v>186</v>
      </c>
      <c r="E1992" s="1" t="s">
        <v>2017</v>
      </c>
      <c r="F1992" s="1" t="s">
        <v>158</v>
      </c>
      <c r="G1992" s="1" t="str">
        <f>"04311220265"</f>
        <v>04311220265</v>
      </c>
      <c r="I1992" s="1" t="s">
        <v>362</v>
      </c>
      <c r="L1992" s="1" t="s">
        <v>43</v>
      </c>
      <c r="M1992" s="1">
        <v>2000</v>
      </c>
      <c r="AG1992" s="1">
        <v>0</v>
      </c>
      <c r="AH1992" s="2">
        <v>45191</v>
      </c>
      <c r="AI1992" s="2">
        <v>45557</v>
      </c>
      <c r="AJ1992" s="2">
        <v>45191</v>
      </c>
    </row>
    <row r="1993" spans="1:36">
      <c r="A1993" s="1" t="str">
        <f>"ZC73CF83F7"</f>
        <v>ZC73CF83F7</v>
      </c>
      <c r="B1993" s="1" t="str">
        <f t="shared" si="41"/>
        <v>02406911202</v>
      </c>
      <c r="C1993" s="1" t="s">
        <v>13</v>
      </c>
      <c r="D1993" s="1" t="s">
        <v>186</v>
      </c>
      <c r="E1993" s="1" t="s">
        <v>2018</v>
      </c>
      <c r="F1993" s="1" t="s">
        <v>158</v>
      </c>
      <c r="G1993" s="1" t="str">
        <f>"01693020206"</f>
        <v>01693020206</v>
      </c>
      <c r="I1993" s="1" t="s">
        <v>1052</v>
      </c>
      <c r="L1993" s="1" t="s">
        <v>43</v>
      </c>
      <c r="M1993" s="1">
        <v>4999</v>
      </c>
      <c r="AG1993" s="1">
        <v>0</v>
      </c>
      <c r="AH1993" s="2">
        <v>45253</v>
      </c>
      <c r="AI1993" s="2">
        <v>46387</v>
      </c>
      <c r="AJ1993" s="2">
        <v>45253</v>
      </c>
    </row>
    <row r="1994" spans="1:36">
      <c r="A1994" s="1" t="str">
        <f>"ZC73DB025A"</f>
        <v>ZC73DB025A</v>
      </c>
      <c r="B1994" s="1" t="str">
        <f t="shared" si="41"/>
        <v>02406911202</v>
      </c>
      <c r="C1994" s="1" t="s">
        <v>13</v>
      </c>
      <c r="D1994" s="1" t="s">
        <v>167</v>
      </c>
      <c r="E1994" s="1" t="s">
        <v>2019</v>
      </c>
      <c r="F1994" s="1" t="s">
        <v>151</v>
      </c>
      <c r="G1994" s="1" t="str">
        <f>"01779530466"</f>
        <v>01779530466</v>
      </c>
      <c r="I1994" s="1" t="s">
        <v>624</v>
      </c>
      <c r="L1994" s="1" t="s">
        <v>43</v>
      </c>
      <c r="M1994" s="1">
        <v>21794.799999999999</v>
      </c>
      <c r="AG1994" s="1">
        <v>0</v>
      </c>
      <c r="AH1994" s="2">
        <v>45281</v>
      </c>
      <c r="AI1994" s="2">
        <v>46022</v>
      </c>
      <c r="AJ1994" s="2">
        <v>45281</v>
      </c>
    </row>
    <row r="1995" spans="1:36">
      <c r="A1995" s="1" t="str">
        <f>"ZC83CDD5CF"</f>
        <v>ZC83CDD5CF</v>
      </c>
      <c r="B1995" s="1" t="str">
        <f t="shared" si="41"/>
        <v>02406911202</v>
      </c>
      <c r="C1995" s="1" t="s">
        <v>13</v>
      </c>
      <c r="D1995" s="1" t="s">
        <v>186</v>
      </c>
      <c r="E1995" s="1" t="s">
        <v>2020</v>
      </c>
      <c r="F1995" s="1" t="s">
        <v>158</v>
      </c>
      <c r="G1995" s="1" t="str">
        <f>"01067490050"</f>
        <v>01067490050</v>
      </c>
      <c r="I1995" s="1" t="s">
        <v>211</v>
      </c>
      <c r="L1995" s="1" t="s">
        <v>43</v>
      </c>
      <c r="M1995" s="1">
        <v>32799.18</v>
      </c>
      <c r="AG1995" s="1">
        <v>0</v>
      </c>
      <c r="AH1995" s="2">
        <v>45224</v>
      </c>
      <c r="AI1995" s="2">
        <v>46022</v>
      </c>
      <c r="AJ1995" s="2">
        <v>45224</v>
      </c>
    </row>
    <row r="1996" spans="1:36">
      <c r="A1996" s="1" t="str">
        <f>"ZC83CDD5CF"</f>
        <v>ZC83CDD5CF</v>
      </c>
      <c r="B1996" s="1" t="str">
        <f t="shared" si="41"/>
        <v>02406911202</v>
      </c>
      <c r="C1996" s="1" t="s">
        <v>13</v>
      </c>
      <c r="D1996" s="1" t="s">
        <v>186</v>
      </c>
      <c r="E1996" s="1" t="s">
        <v>2020</v>
      </c>
      <c r="F1996" s="1" t="s">
        <v>158</v>
      </c>
      <c r="G1996" s="1" t="str">
        <f>"02668590215"</f>
        <v>02668590215</v>
      </c>
      <c r="I1996" s="1" t="s">
        <v>1873</v>
      </c>
      <c r="L1996" s="1" t="s">
        <v>100</v>
      </c>
      <c r="AJ1996" s="2">
        <v>45224</v>
      </c>
    </row>
    <row r="1997" spans="1:36">
      <c r="A1997" s="1" t="str">
        <f>"ZC83CF137B"</f>
        <v>ZC83CF137B</v>
      </c>
      <c r="B1997" s="1" t="str">
        <f t="shared" si="41"/>
        <v>02406911202</v>
      </c>
      <c r="C1997" s="1" t="s">
        <v>13</v>
      </c>
      <c r="D1997" s="1" t="s">
        <v>164</v>
      </c>
      <c r="E1997" s="1" t="s">
        <v>2021</v>
      </c>
      <c r="F1997" s="1" t="s">
        <v>39</v>
      </c>
      <c r="G1997" s="1" t="str">
        <f>"01486330309"</f>
        <v>01486330309</v>
      </c>
      <c r="I1997" s="1" t="s">
        <v>840</v>
      </c>
      <c r="L1997" s="1" t="s">
        <v>43</v>
      </c>
      <c r="M1997" s="1">
        <v>14966</v>
      </c>
      <c r="AG1997" s="1">
        <v>0</v>
      </c>
      <c r="AH1997" s="2">
        <v>45219</v>
      </c>
      <c r="AI1997" s="2">
        <v>45291</v>
      </c>
      <c r="AJ1997" s="2">
        <v>45219</v>
      </c>
    </row>
    <row r="1998" spans="1:36">
      <c r="A1998" s="1" t="str">
        <f>"ZC83CF3DA4"</f>
        <v>ZC83CF3DA4</v>
      </c>
      <c r="B1998" s="1" t="str">
        <f t="shared" si="41"/>
        <v>02406911202</v>
      </c>
      <c r="C1998" s="1" t="s">
        <v>13</v>
      </c>
      <c r="D1998" s="1" t="s">
        <v>180</v>
      </c>
      <c r="E1998" s="1" t="s">
        <v>279</v>
      </c>
      <c r="F1998" s="1" t="s">
        <v>158</v>
      </c>
      <c r="G1998" s="1" t="str">
        <f>"08860270969"</f>
        <v>08860270969</v>
      </c>
      <c r="I1998" s="1" t="s">
        <v>969</v>
      </c>
      <c r="L1998" s="1" t="s">
        <v>43</v>
      </c>
      <c r="M1998" s="1">
        <v>5000</v>
      </c>
      <c r="AG1998" s="1">
        <v>0</v>
      </c>
      <c r="AH1998" s="2">
        <v>45222</v>
      </c>
      <c r="AI1998" s="2">
        <v>45291</v>
      </c>
      <c r="AJ1998" s="2">
        <v>45222</v>
      </c>
    </row>
    <row r="1999" spans="1:36">
      <c r="A1999" s="1" t="str">
        <f>"ZC83D2A838"</f>
        <v>ZC83D2A838</v>
      </c>
      <c r="B1999" s="1" t="str">
        <f t="shared" si="41"/>
        <v>02406911202</v>
      </c>
      <c r="C1999" s="1" t="s">
        <v>13</v>
      </c>
      <c r="D1999" s="1" t="s">
        <v>180</v>
      </c>
      <c r="E1999" s="1" t="s">
        <v>281</v>
      </c>
      <c r="F1999" s="1" t="s">
        <v>158</v>
      </c>
      <c r="G1999" s="1" t="str">
        <f>"15685941005"</f>
        <v>15685941005</v>
      </c>
      <c r="I1999" s="1" t="s">
        <v>1495</v>
      </c>
      <c r="L1999" s="1" t="s">
        <v>43</v>
      </c>
      <c r="M1999" s="1">
        <v>6000</v>
      </c>
      <c r="AG1999" s="1">
        <v>0</v>
      </c>
      <c r="AH1999" s="2">
        <v>45238</v>
      </c>
      <c r="AI1999" s="2">
        <v>45291</v>
      </c>
      <c r="AJ1999" s="2">
        <v>45238</v>
      </c>
    </row>
    <row r="2000" spans="1:36">
      <c r="A2000" s="1" t="str">
        <f>"ZC83D3FD6C"</f>
        <v>ZC83D3FD6C</v>
      </c>
      <c r="B2000" s="1" t="str">
        <f t="shared" si="41"/>
        <v>02406911202</v>
      </c>
      <c r="C2000" s="1" t="s">
        <v>13</v>
      </c>
      <c r="D2000" s="1" t="s">
        <v>180</v>
      </c>
      <c r="E2000" s="1" t="s">
        <v>281</v>
      </c>
      <c r="F2000" s="1" t="s">
        <v>158</v>
      </c>
      <c r="G2000" s="1" t="str">
        <f>"09270550016"</f>
        <v>09270550016</v>
      </c>
      <c r="I2000" s="1" t="s">
        <v>406</v>
      </c>
      <c r="L2000" s="1" t="s">
        <v>43</v>
      </c>
      <c r="M2000" s="1">
        <v>6000</v>
      </c>
      <c r="AG2000" s="1">
        <v>0</v>
      </c>
      <c r="AH2000" s="2">
        <v>45243</v>
      </c>
      <c r="AI2000" s="2">
        <v>45291</v>
      </c>
      <c r="AJ2000" s="2">
        <v>45243</v>
      </c>
    </row>
    <row r="2001" spans="1:36">
      <c r="A2001" s="1" t="str">
        <f>"ZC93C9E141"</f>
        <v>ZC93C9E141</v>
      </c>
      <c r="B2001" s="1" t="str">
        <f t="shared" si="41"/>
        <v>02406911202</v>
      </c>
      <c r="C2001" s="1" t="s">
        <v>13</v>
      </c>
      <c r="D2001" s="1" t="s">
        <v>180</v>
      </c>
      <c r="E2001" s="1" t="s">
        <v>296</v>
      </c>
      <c r="F2001" s="1" t="s">
        <v>158</v>
      </c>
      <c r="G2001" s="1" t="str">
        <f>"01740391204"</f>
        <v>01740391204</v>
      </c>
      <c r="I2001" s="1" t="s">
        <v>1556</v>
      </c>
      <c r="L2001" s="1" t="s">
        <v>43</v>
      </c>
      <c r="M2001" s="1">
        <v>5000</v>
      </c>
      <c r="AG2001" s="1">
        <v>567.66</v>
      </c>
      <c r="AH2001" s="2">
        <v>45196</v>
      </c>
      <c r="AI2001" s="2">
        <v>45291</v>
      </c>
      <c r="AJ2001" s="2">
        <v>45196</v>
      </c>
    </row>
    <row r="2002" spans="1:36">
      <c r="A2002" s="1" t="str">
        <f>"ZC93DB00EE"</f>
        <v>ZC93DB00EE</v>
      </c>
      <c r="B2002" s="1" t="str">
        <f t="shared" si="41"/>
        <v>02406911202</v>
      </c>
      <c r="C2002" s="1" t="s">
        <v>13</v>
      </c>
      <c r="D2002" s="1" t="s">
        <v>167</v>
      </c>
      <c r="E2002" s="1" t="s">
        <v>2022</v>
      </c>
      <c r="F2002" s="1" t="s">
        <v>151</v>
      </c>
      <c r="G2002" s="1" t="str">
        <f>"07703770151"</f>
        <v>07703770151</v>
      </c>
      <c r="I2002" s="1" t="s">
        <v>2023</v>
      </c>
      <c r="L2002" s="1" t="s">
        <v>43</v>
      </c>
      <c r="M2002" s="1">
        <v>8559.7999999999993</v>
      </c>
      <c r="AG2002" s="1">
        <v>0</v>
      </c>
      <c r="AH2002" s="2">
        <v>45281</v>
      </c>
      <c r="AI2002" s="2">
        <v>46022</v>
      </c>
      <c r="AJ2002" s="2">
        <v>45281</v>
      </c>
    </row>
    <row r="2003" spans="1:36">
      <c r="A2003" s="1" t="str">
        <f>"ZCA3C97F7A"</f>
        <v>ZCA3C97F7A</v>
      </c>
      <c r="B2003" s="1" t="str">
        <f t="shared" si="41"/>
        <v>02406911202</v>
      </c>
      <c r="C2003" s="1" t="s">
        <v>13</v>
      </c>
      <c r="D2003" s="1" t="s">
        <v>186</v>
      </c>
      <c r="E2003" s="1" t="s">
        <v>324</v>
      </c>
      <c r="F2003" s="1" t="s">
        <v>158</v>
      </c>
      <c r="G2003" s="1" t="str">
        <f>"02236190233"</f>
        <v>02236190233</v>
      </c>
      <c r="I2003" s="1" t="s">
        <v>325</v>
      </c>
      <c r="L2003" s="1" t="s">
        <v>43</v>
      </c>
      <c r="M2003" s="1">
        <v>4999</v>
      </c>
      <c r="AG2003" s="1">
        <v>0</v>
      </c>
      <c r="AH2003" s="2">
        <v>45195</v>
      </c>
      <c r="AI2003" s="2">
        <v>46022</v>
      </c>
      <c r="AJ2003" s="2">
        <v>45195</v>
      </c>
    </row>
    <row r="2004" spans="1:36">
      <c r="A2004" s="1" t="str">
        <f>"ZCA3CA60FC"</f>
        <v>ZCA3CA60FC</v>
      </c>
      <c r="B2004" s="1" t="str">
        <f t="shared" si="41"/>
        <v>02406911202</v>
      </c>
      <c r="C2004" s="1" t="s">
        <v>13</v>
      </c>
      <c r="D2004" s="1" t="s">
        <v>264</v>
      </c>
      <c r="E2004" s="1" t="s">
        <v>2024</v>
      </c>
      <c r="F2004" s="1" t="s">
        <v>158</v>
      </c>
      <c r="G2004" s="1" t="str">
        <f>"01126960101"</f>
        <v>01126960101</v>
      </c>
      <c r="I2004" s="1" t="s">
        <v>2025</v>
      </c>
      <c r="L2004" s="1" t="s">
        <v>43</v>
      </c>
      <c r="M2004" s="1">
        <v>16000</v>
      </c>
      <c r="AG2004" s="1">
        <v>0</v>
      </c>
      <c r="AH2004" s="2">
        <v>45198</v>
      </c>
      <c r="AI2004" s="2">
        <v>45251</v>
      </c>
      <c r="AJ2004" s="2">
        <v>45198</v>
      </c>
    </row>
    <row r="2005" spans="1:36">
      <c r="A2005" s="1" t="str">
        <f>"ZCA3D341B6"</f>
        <v>ZCA3D341B6</v>
      </c>
      <c r="B2005" s="1" t="str">
        <f t="shared" si="41"/>
        <v>02406911202</v>
      </c>
      <c r="C2005" s="1" t="s">
        <v>13</v>
      </c>
      <c r="D2005" s="1" t="s">
        <v>167</v>
      </c>
      <c r="E2005" s="1" t="s">
        <v>1662</v>
      </c>
      <c r="F2005" s="1" t="s">
        <v>151</v>
      </c>
      <c r="G2005" s="1" t="str">
        <f>"03690650134"</f>
        <v>03690650134</v>
      </c>
      <c r="I2005" s="1" t="s">
        <v>2026</v>
      </c>
      <c r="L2005" s="1" t="s">
        <v>43</v>
      </c>
      <c r="M2005" s="1">
        <v>8248.7199999999993</v>
      </c>
      <c r="AG2005" s="1">
        <v>0</v>
      </c>
      <c r="AH2005" s="2">
        <v>45239</v>
      </c>
      <c r="AI2005" s="2">
        <v>45351</v>
      </c>
      <c r="AJ2005" s="2">
        <v>45239</v>
      </c>
    </row>
    <row r="2006" spans="1:36">
      <c r="A2006" s="1" t="str">
        <f>"ZCB3C9B998"</f>
        <v>ZCB3C9B998</v>
      </c>
      <c r="B2006" s="1" t="str">
        <f t="shared" si="41"/>
        <v>02406911202</v>
      </c>
      <c r="C2006" s="1" t="s">
        <v>13</v>
      </c>
      <c r="D2006" s="1" t="s">
        <v>164</v>
      </c>
      <c r="E2006" s="1" t="s">
        <v>2027</v>
      </c>
      <c r="F2006" s="1" t="s">
        <v>39</v>
      </c>
      <c r="G2006" s="1" t="str">
        <f>"05994810488"</f>
        <v>05994810488</v>
      </c>
      <c r="I2006" s="1" t="s">
        <v>513</v>
      </c>
      <c r="L2006" s="1" t="s">
        <v>43</v>
      </c>
      <c r="M2006" s="1">
        <v>10000</v>
      </c>
      <c r="AG2006" s="1">
        <v>0</v>
      </c>
      <c r="AH2006" s="2">
        <v>45226</v>
      </c>
      <c r="AI2006" s="2">
        <v>45291</v>
      </c>
      <c r="AJ2006" s="2">
        <v>45226</v>
      </c>
    </row>
    <row r="2007" spans="1:36">
      <c r="A2007" s="1" t="str">
        <f>"ZCB3D75438"</f>
        <v>ZCB3D75438</v>
      </c>
      <c r="B2007" s="1" t="str">
        <f t="shared" si="41"/>
        <v>02406911202</v>
      </c>
      <c r="C2007" s="1" t="s">
        <v>13</v>
      </c>
      <c r="D2007" s="1" t="s">
        <v>264</v>
      </c>
      <c r="E2007" s="1" t="s">
        <v>2028</v>
      </c>
      <c r="F2007" s="1" t="s">
        <v>158</v>
      </c>
      <c r="G2007" s="1" t="str">
        <f>"08817300158"</f>
        <v>08817300158</v>
      </c>
      <c r="I2007" s="1" t="s">
        <v>961</v>
      </c>
      <c r="L2007" s="1" t="s">
        <v>43</v>
      </c>
      <c r="M2007" s="1">
        <v>4758</v>
      </c>
      <c r="AG2007" s="1">
        <v>0</v>
      </c>
      <c r="AH2007" s="2">
        <v>45247</v>
      </c>
      <c r="AI2007" s="2">
        <v>45272</v>
      </c>
      <c r="AJ2007" s="2">
        <v>45247</v>
      </c>
    </row>
    <row r="2008" spans="1:36">
      <c r="A2008" s="1" t="str">
        <f>"ZCC3CDBE60"</f>
        <v>ZCC3CDBE60</v>
      </c>
      <c r="B2008" s="1" t="str">
        <f t="shared" si="41"/>
        <v>02406911202</v>
      </c>
      <c r="C2008" s="1" t="s">
        <v>13</v>
      </c>
      <c r="D2008" s="1" t="s">
        <v>180</v>
      </c>
      <c r="E2008" s="1" t="s">
        <v>281</v>
      </c>
      <c r="F2008" s="1" t="s">
        <v>158</v>
      </c>
      <c r="G2008" s="1" t="str">
        <f>"08082461008"</f>
        <v>08082461008</v>
      </c>
      <c r="I2008" s="1" t="s">
        <v>88</v>
      </c>
      <c r="L2008" s="1" t="s">
        <v>43</v>
      </c>
      <c r="M2008" s="1">
        <v>6000</v>
      </c>
      <c r="AG2008" s="1">
        <v>0</v>
      </c>
      <c r="AH2008" s="2">
        <v>45215</v>
      </c>
      <c r="AI2008" s="2">
        <v>45291</v>
      </c>
      <c r="AJ2008" s="2">
        <v>45215</v>
      </c>
    </row>
    <row r="2009" spans="1:36">
      <c r="A2009" s="1" t="str">
        <f>"ZCC3D3491D"</f>
        <v>ZCC3D3491D</v>
      </c>
      <c r="B2009" s="1" t="str">
        <f t="shared" si="41"/>
        <v>02406911202</v>
      </c>
      <c r="C2009" s="1" t="s">
        <v>13</v>
      </c>
      <c r="D2009" s="1" t="s">
        <v>177</v>
      </c>
      <c r="E2009" s="1" t="s">
        <v>2029</v>
      </c>
      <c r="F2009" s="1" t="s">
        <v>158</v>
      </c>
      <c r="G2009" s="1" t="str">
        <f>"02097550376"</f>
        <v>02097550376</v>
      </c>
      <c r="I2009" s="1" t="s">
        <v>2030</v>
      </c>
      <c r="L2009" s="1" t="s">
        <v>43</v>
      </c>
      <c r="M2009" s="1">
        <v>490000</v>
      </c>
      <c r="AG2009" s="1">
        <v>0</v>
      </c>
      <c r="AH2009" s="2">
        <v>45231</v>
      </c>
      <c r="AI2009" s="2">
        <v>45961</v>
      </c>
      <c r="AJ2009" s="2">
        <v>45231</v>
      </c>
    </row>
    <row r="2010" spans="1:36">
      <c r="A2010" s="1" t="str">
        <f>"ZCC3D7613C"</f>
        <v>ZCC3D7613C</v>
      </c>
      <c r="B2010" s="1" t="str">
        <f t="shared" si="41"/>
        <v>02406911202</v>
      </c>
      <c r="C2010" s="1" t="s">
        <v>13</v>
      </c>
      <c r="D2010" s="1" t="s">
        <v>186</v>
      </c>
      <c r="E2010" s="1" t="s">
        <v>2031</v>
      </c>
      <c r="F2010" s="1" t="s">
        <v>158</v>
      </c>
      <c r="G2010" s="1" t="str">
        <f>"03640221200"</f>
        <v>03640221200</v>
      </c>
      <c r="I2010" s="1" t="s">
        <v>2032</v>
      </c>
      <c r="L2010" s="1" t="s">
        <v>43</v>
      </c>
      <c r="M2010" s="1">
        <v>13500</v>
      </c>
      <c r="AG2010" s="1">
        <v>0</v>
      </c>
      <c r="AH2010" s="2">
        <v>45261</v>
      </c>
      <c r="AI2010" s="2">
        <v>45777</v>
      </c>
      <c r="AJ2010" s="2">
        <v>45261</v>
      </c>
    </row>
    <row r="2011" spans="1:36">
      <c r="A2011" s="1" t="str">
        <f>"ZCC3D9D3C1"</f>
        <v>ZCC3D9D3C1</v>
      </c>
      <c r="B2011" s="1" t="str">
        <f t="shared" si="41"/>
        <v>02406911202</v>
      </c>
      <c r="C2011" s="1" t="s">
        <v>13</v>
      </c>
      <c r="D2011" s="1" t="s">
        <v>180</v>
      </c>
      <c r="E2011" s="1" t="s">
        <v>181</v>
      </c>
      <c r="F2011" s="1" t="s">
        <v>158</v>
      </c>
      <c r="G2011" s="1" t="str">
        <f>"90032460322"</f>
        <v>90032460322</v>
      </c>
      <c r="I2011" s="1" t="s">
        <v>1476</v>
      </c>
      <c r="L2011" s="1" t="s">
        <v>43</v>
      </c>
      <c r="M2011" s="1">
        <v>5000</v>
      </c>
      <c r="AG2011" s="1">
        <v>0</v>
      </c>
      <c r="AH2011" s="2">
        <v>45265</v>
      </c>
      <c r="AI2011" s="2">
        <v>45291</v>
      </c>
      <c r="AJ2011" s="2">
        <v>45265</v>
      </c>
    </row>
    <row r="2012" spans="1:36">
      <c r="A2012" s="1" t="str">
        <f>"ZCC3DB145E"</f>
        <v>ZCC3DB145E</v>
      </c>
      <c r="B2012" s="1" t="str">
        <f t="shared" si="41"/>
        <v>02406911202</v>
      </c>
      <c r="C2012" s="1" t="s">
        <v>13</v>
      </c>
      <c r="D2012" s="1" t="s">
        <v>180</v>
      </c>
      <c r="E2012" s="1" t="s">
        <v>220</v>
      </c>
      <c r="F2012" s="1" t="s">
        <v>158</v>
      </c>
      <c r="G2012" s="1" t="str">
        <f>"09238800156"</f>
        <v>09238800156</v>
      </c>
      <c r="I2012" s="1" t="s">
        <v>92</v>
      </c>
      <c r="L2012" s="1" t="s">
        <v>43</v>
      </c>
      <c r="M2012" s="1">
        <v>6000</v>
      </c>
      <c r="AG2012" s="1">
        <v>0</v>
      </c>
      <c r="AH2012" s="2">
        <v>45272</v>
      </c>
      <c r="AI2012" s="2">
        <v>45657</v>
      </c>
      <c r="AJ2012" s="2">
        <v>45272</v>
      </c>
    </row>
    <row r="2013" spans="1:36">
      <c r="A2013" s="1" t="str">
        <f>"ZCC3DB8715"</f>
        <v>ZCC3DB8715</v>
      </c>
      <c r="B2013" s="1" t="str">
        <f t="shared" si="41"/>
        <v>02406911202</v>
      </c>
      <c r="C2013" s="1" t="s">
        <v>13</v>
      </c>
      <c r="D2013" s="1" t="s">
        <v>180</v>
      </c>
      <c r="E2013" s="1" t="s">
        <v>281</v>
      </c>
      <c r="F2013" s="1" t="s">
        <v>158</v>
      </c>
      <c r="G2013" s="1" t="str">
        <f>"12572900152"</f>
        <v>12572900152</v>
      </c>
      <c r="I2013" s="1" t="s">
        <v>335</v>
      </c>
      <c r="L2013" s="1" t="s">
        <v>43</v>
      </c>
      <c r="M2013" s="1">
        <v>6000</v>
      </c>
      <c r="AG2013" s="1">
        <v>0</v>
      </c>
      <c r="AH2013" s="2">
        <v>45272</v>
      </c>
      <c r="AI2013" s="2">
        <v>45657</v>
      </c>
      <c r="AJ2013" s="2">
        <v>45272</v>
      </c>
    </row>
    <row r="2014" spans="1:36">
      <c r="A2014" s="1" t="str">
        <f>"ZCC3DE27AF"</f>
        <v>ZCC3DE27AF</v>
      </c>
      <c r="B2014" s="1" t="str">
        <f t="shared" si="41"/>
        <v>02406911202</v>
      </c>
      <c r="C2014" s="1" t="s">
        <v>13</v>
      </c>
      <c r="D2014" s="1" t="s">
        <v>177</v>
      </c>
      <c r="E2014" s="1" t="s">
        <v>2033</v>
      </c>
      <c r="F2014" s="1" t="s">
        <v>158</v>
      </c>
      <c r="G2014" s="1" t="str">
        <f>"00672690377"</f>
        <v>00672690377</v>
      </c>
      <c r="I2014" s="1" t="s">
        <v>179</v>
      </c>
      <c r="L2014" s="1" t="s">
        <v>43</v>
      </c>
      <c r="M2014" s="1">
        <v>37500</v>
      </c>
      <c r="AG2014" s="1">
        <v>0</v>
      </c>
      <c r="AH2014" s="2">
        <v>45108</v>
      </c>
      <c r="AI2014" s="2">
        <v>45657</v>
      </c>
      <c r="AJ2014" s="2">
        <v>45108</v>
      </c>
    </row>
    <row r="2015" spans="1:36">
      <c r="A2015" s="1" t="str">
        <f>"ZCD3E03386"</f>
        <v>ZCD3E03386</v>
      </c>
      <c r="B2015" s="1" t="str">
        <f t="shared" si="41"/>
        <v>02406911202</v>
      </c>
      <c r="C2015" s="1" t="s">
        <v>13</v>
      </c>
      <c r="D2015" s="1" t="s">
        <v>186</v>
      </c>
      <c r="E2015" s="1" t="s">
        <v>2034</v>
      </c>
      <c r="F2015" s="1" t="s">
        <v>158</v>
      </c>
      <c r="G2015" s="1" t="str">
        <f>"03965831203"</f>
        <v>03965831203</v>
      </c>
      <c r="I2015" s="1" t="s">
        <v>291</v>
      </c>
      <c r="L2015" s="1" t="s">
        <v>43</v>
      </c>
      <c r="M2015" s="1">
        <v>4990</v>
      </c>
      <c r="AG2015" s="1">
        <v>0</v>
      </c>
      <c r="AH2015" s="2">
        <v>45289</v>
      </c>
      <c r="AI2015" s="2">
        <v>46022</v>
      </c>
      <c r="AJ2015" s="2">
        <v>45289</v>
      </c>
    </row>
    <row r="2016" spans="1:36">
      <c r="A2016" s="1" t="str">
        <f>"ZCE3CBD2B8"</f>
        <v>ZCE3CBD2B8</v>
      </c>
      <c r="B2016" s="1" t="str">
        <f t="shared" si="41"/>
        <v>02406911202</v>
      </c>
      <c r="C2016" s="1" t="s">
        <v>13</v>
      </c>
      <c r="D2016" s="1" t="s">
        <v>180</v>
      </c>
      <c r="E2016" s="1" t="s">
        <v>1535</v>
      </c>
      <c r="F2016" s="1" t="s">
        <v>158</v>
      </c>
      <c r="G2016" s="1" t="str">
        <f>"02693090033"</f>
        <v>02693090033</v>
      </c>
      <c r="I2016" s="1" t="s">
        <v>1933</v>
      </c>
      <c r="L2016" s="1" t="s">
        <v>43</v>
      </c>
      <c r="M2016" s="1">
        <v>5000</v>
      </c>
      <c r="AG2016" s="1">
        <v>231</v>
      </c>
      <c r="AH2016" s="2">
        <v>45205</v>
      </c>
      <c r="AI2016" s="2">
        <v>45291</v>
      </c>
      <c r="AJ2016" s="2">
        <v>45205</v>
      </c>
    </row>
    <row r="2017" spans="1:36">
      <c r="A2017" s="1" t="str">
        <f>"ZCE3CC92E4"</f>
        <v>ZCE3CC92E4</v>
      </c>
      <c r="B2017" s="1" t="str">
        <f t="shared" si="41"/>
        <v>02406911202</v>
      </c>
      <c r="C2017" s="1" t="s">
        <v>13</v>
      </c>
      <c r="D2017" s="1" t="s">
        <v>164</v>
      </c>
      <c r="E2017" s="1" t="s">
        <v>2035</v>
      </c>
      <c r="F2017" s="1" t="s">
        <v>39</v>
      </c>
      <c r="G2017" s="1" t="str">
        <f>"01515320180"</f>
        <v>01515320180</v>
      </c>
      <c r="I2017" s="1" t="s">
        <v>2036</v>
      </c>
      <c r="L2017" s="1" t="s">
        <v>43</v>
      </c>
      <c r="M2017" s="1">
        <v>24400</v>
      </c>
      <c r="AG2017" s="1">
        <v>10000</v>
      </c>
      <c r="AH2017" s="2">
        <v>45170</v>
      </c>
      <c r="AI2017" s="2">
        <v>45900</v>
      </c>
      <c r="AJ2017" s="2">
        <v>45170</v>
      </c>
    </row>
    <row r="2018" spans="1:36">
      <c r="A2018" s="1" t="str">
        <f>"ZCE3CE8011"</f>
        <v>ZCE3CE8011</v>
      </c>
      <c r="B2018" s="1" t="str">
        <f t="shared" si="41"/>
        <v>02406911202</v>
      </c>
      <c r="C2018" s="1" t="s">
        <v>13</v>
      </c>
      <c r="D2018" s="1" t="s">
        <v>164</v>
      </c>
      <c r="E2018" s="1" t="s">
        <v>2037</v>
      </c>
      <c r="F2018" s="1" t="s">
        <v>39</v>
      </c>
      <c r="G2018" s="1" t="str">
        <f>"01486330309"</f>
        <v>01486330309</v>
      </c>
      <c r="I2018" s="1" t="s">
        <v>840</v>
      </c>
      <c r="L2018" s="1" t="s">
        <v>43</v>
      </c>
      <c r="M2018" s="1">
        <v>918</v>
      </c>
      <c r="AG2018" s="1">
        <v>0</v>
      </c>
      <c r="AH2018" s="2">
        <v>45217</v>
      </c>
      <c r="AI2018" s="2">
        <v>45291</v>
      </c>
      <c r="AJ2018" s="2">
        <v>45217</v>
      </c>
    </row>
    <row r="2019" spans="1:36">
      <c r="A2019" s="1" t="str">
        <f>"ZCE3CE8011"</f>
        <v>ZCE3CE8011</v>
      </c>
      <c r="B2019" s="1" t="str">
        <f t="shared" si="41"/>
        <v>02406911202</v>
      </c>
      <c r="C2019" s="1" t="s">
        <v>13</v>
      </c>
      <c r="D2019" s="1" t="s">
        <v>164</v>
      </c>
      <c r="E2019" s="1" t="s">
        <v>2037</v>
      </c>
      <c r="F2019" s="1" t="s">
        <v>39</v>
      </c>
      <c r="G2019" s="1" t="str">
        <f>"04427081007"</f>
        <v>04427081007</v>
      </c>
      <c r="I2019" s="1" t="s">
        <v>1575</v>
      </c>
      <c r="L2019" s="1" t="s">
        <v>100</v>
      </c>
      <c r="AJ2019" s="2">
        <v>45217</v>
      </c>
    </row>
    <row r="2020" spans="1:36">
      <c r="A2020" s="1" t="str">
        <f>"ZCE3CF180A"</f>
        <v>ZCE3CF180A</v>
      </c>
      <c r="B2020" s="1" t="str">
        <f t="shared" si="41"/>
        <v>02406911202</v>
      </c>
      <c r="C2020" s="1" t="s">
        <v>13</v>
      </c>
      <c r="D2020" s="1" t="s">
        <v>186</v>
      </c>
      <c r="E2020" s="1" t="s">
        <v>2038</v>
      </c>
      <c r="F2020" s="1" t="s">
        <v>158</v>
      </c>
      <c r="G2020" s="1" t="str">
        <f>"12547400155"</f>
        <v>12547400155</v>
      </c>
      <c r="I2020" s="1" t="s">
        <v>2039</v>
      </c>
      <c r="L2020" s="1" t="s">
        <v>43</v>
      </c>
      <c r="M2020" s="1">
        <v>4999</v>
      </c>
      <c r="AG2020" s="1">
        <v>0</v>
      </c>
      <c r="AH2020" s="2">
        <v>45219</v>
      </c>
      <c r="AI2020" s="2">
        <v>46022</v>
      </c>
      <c r="AJ2020" s="2">
        <v>45219</v>
      </c>
    </row>
    <row r="2021" spans="1:36">
      <c r="A2021" s="1" t="str">
        <f>"ZCE3D338FC"</f>
        <v>ZCE3D338FC</v>
      </c>
      <c r="B2021" s="1" t="str">
        <f t="shared" si="41"/>
        <v>02406911202</v>
      </c>
      <c r="C2021" s="1" t="s">
        <v>13</v>
      </c>
      <c r="D2021" s="1" t="s">
        <v>167</v>
      </c>
      <c r="E2021" s="1" t="s">
        <v>1662</v>
      </c>
      <c r="F2021" s="1" t="s">
        <v>151</v>
      </c>
      <c r="G2021" s="1" t="str">
        <f>"07179150151"</f>
        <v>07179150151</v>
      </c>
      <c r="I2021" s="1" t="s">
        <v>862</v>
      </c>
      <c r="L2021" s="1" t="s">
        <v>43</v>
      </c>
      <c r="M2021" s="1">
        <v>780</v>
      </c>
      <c r="AG2021" s="1">
        <v>0</v>
      </c>
      <c r="AH2021" s="2">
        <v>45239</v>
      </c>
      <c r="AI2021" s="2">
        <v>45351</v>
      </c>
      <c r="AJ2021" s="2">
        <v>45239</v>
      </c>
    </row>
    <row r="2022" spans="1:36">
      <c r="A2022" s="1" t="str">
        <f>"ZCE3DC15CA"</f>
        <v>ZCE3DC15CA</v>
      </c>
      <c r="B2022" s="1" t="str">
        <f t="shared" si="41"/>
        <v>02406911202</v>
      </c>
      <c r="C2022" s="1" t="s">
        <v>13</v>
      </c>
      <c r="D2022" s="1" t="s">
        <v>167</v>
      </c>
      <c r="E2022" s="1" t="s">
        <v>2040</v>
      </c>
      <c r="F2022" s="1" t="s">
        <v>158</v>
      </c>
      <c r="G2022" s="1" t="str">
        <f>"11484370967"</f>
        <v>11484370967</v>
      </c>
      <c r="I2022" s="1" t="s">
        <v>1754</v>
      </c>
      <c r="L2022" s="1" t="s">
        <v>43</v>
      </c>
      <c r="M2022" s="1">
        <v>275</v>
      </c>
      <c r="AG2022" s="1">
        <v>0</v>
      </c>
      <c r="AH2022" s="2">
        <v>45279</v>
      </c>
      <c r="AI2022" s="2">
        <v>45291</v>
      </c>
      <c r="AJ2022" s="2">
        <v>45279</v>
      </c>
    </row>
    <row r="2023" spans="1:36">
      <c r="A2023" s="1" t="str">
        <f>"ZCF3CD8556"</f>
        <v>ZCF3CD8556</v>
      </c>
      <c r="B2023" s="1" t="str">
        <f t="shared" si="41"/>
        <v>02406911202</v>
      </c>
      <c r="C2023" s="1" t="s">
        <v>13</v>
      </c>
      <c r="D2023" s="1" t="s">
        <v>180</v>
      </c>
      <c r="E2023" s="1" t="s">
        <v>296</v>
      </c>
      <c r="F2023" s="1" t="s">
        <v>158</v>
      </c>
      <c r="G2023" s="1" t="str">
        <f>"03830250712"</f>
        <v>03830250712</v>
      </c>
      <c r="I2023" s="1" t="s">
        <v>706</v>
      </c>
      <c r="L2023" s="1" t="s">
        <v>43</v>
      </c>
      <c r="M2023" s="1">
        <v>5000</v>
      </c>
      <c r="AG2023" s="1">
        <v>1372.8</v>
      </c>
      <c r="AH2023" s="2">
        <v>45212</v>
      </c>
      <c r="AI2023" s="2">
        <v>45291</v>
      </c>
      <c r="AJ2023" s="2">
        <v>45212</v>
      </c>
    </row>
    <row r="2024" spans="1:36">
      <c r="A2024" s="1" t="str">
        <f>"ZCF3D3DC03"</f>
        <v>ZCF3D3DC03</v>
      </c>
      <c r="B2024" s="1" t="str">
        <f t="shared" si="41"/>
        <v>02406911202</v>
      </c>
      <c r="C2024" s="1" t="s">
        <v>13</v>
      </c>
      <c r="D2024" s="1" t="s">
        <v>177</v>
      </c>
      <c r="E2024" s="1" t="s">
        <v>2041</v>
      </c>
      <c r="F2024" s="1" t="s">
        <v>158</v>
      </c>
      <c r="G2024" s="1" t="str">
        <f>"RSSMRS52C42G535K"</f>
        <v>RSSMRS52C42G535K</v>
      </c>
      <c r="I2024" s="1" t="s">
        <v>411</v>
      </c>
      <c r="L2024" s="1" t="s">
        <v>43</v>
      </c>
      <c r="M2024" s="1">
        <v>2574.66</v>
      </c>
      <c r="AG2024" s="1">
        <v>2574.66</v>
      </c>
      <c r="AH2024" s="2">
        <v>45223</v>
      </c>
      <c r="AI2024" s="2">
        <v>45260</v>
      </c>
      <c r="AJ2024" s="2">
        <v>45223</v>
      </c>
    </row>
    <row r="2025" spans="1:36">
      <c r="A2025" s="1" t="str">
        <f>"ZCF3D4549C"</f>
        <v>ZCF3D4549C</v>
      </c>
      <c r="B2025" s="1" t="str">
        <f t="shared" si="41"/>
        <v>02406911202</v>
      </c>
      <c r="C2025" s="1" t="s">
        <v>13</v>
      </c>
      <c r="D2025" s="1" t="s">
        <v>177</v>
      </c>
      <c r="E2025" s="1" t="s">
        <v>2042</v>
      </c>
      <c r="F2025" s="1" t="s">
        <v>158</v>
      </c>
      <c r="G2025" s="1" t="str">
        <f>"91340210375"</f>
        <v>91340210375</v>
      </c>
      <c r="I2025" s="1" t="s">
        <v>1617</v>
      </c>
      <c r="L2025" s="1" t="s">
        <v>43</v>
      </c>
      <c r="M2025" s="1">
        <v>2500</v>
      </c>
      <c r="AG2025" s="1">
        <v>0</v>
      </c>
      <c r="AH2025" s="2">
        <v>45139</v>
      </c>
      <c r="AI2025" s="2">
        <v>45291</v>
      </c>
      <c r="AJ2025" s="2">
        <v>45139</v>
      </c>
    </row>
    <row r="2026" spans="1:36">
      <c r="A2026" s="1" t="str">
        <f>"ZCF3D7B271"</f>
        <v>ZCF3D7B271</v>
      </c>
      <c r="B2026" s="1" t="str">
        <f t="shared" si="41"/>
        <v>02406911202</v>
      </c>
      <c r="C2026" s="1" t="s">
        <v>13</v>
      </c>
      <c r="D2026" s="1" t="s">
        <v>180</v>
      </c>
      <c r="E2026" s="1" t="s">
        <v>281</v>
      </c>
      <c r="F2026" s="1" t="s">
        <v>158</v>
      </c>
      <c r="G2026" s="1" t="str">
        <f>"12572900152"</f>
        <v>12572900152</v>
      </c>
      <c r="I2026" s="1" t="s">
        <v>335</v>
      </c>
      <c r="L2026" s="1" t="s">
        <v>43</v>
      </c>
      <c r="M2026" s="1">
        <v>6000</v>
      </c>
      <c r="AG2026" s="1">
        <v>0</v>
      </c>
      <c r="AH2026" s="2">
        <v>45259</v>
      </c>
      <c r="AI2026" s="2">
        <v>45291</v>
      </c>
      <c r="AJ2026" s="2">
        <v>45259</v>
      </c>
    </row>
    <row r="2027" spans="1:36">
      <c r="A2027" s="1" t="str">
        <f>"ZD03CAA641"</f>
        <v>ZD03CAA641</v>
      </c>
      <c r="B2027" s="1" t="str">
        <f t="shared" si="41"/>
        <v>02406911202</v>
      </c>
      <c r="C2027" s="1" t="s">
        <v>13</v>
      </c>
      <c r="D2027" s="1" t="s">
        <v>180</v>
      </c>
      <c r="E2027" s="1" t="s">
        <v>279</v>
      </c>
      <c r="F2027" s="1" t="s">
        <v>158</v>
      </c>
      <c r="G2027" s="1" t="str">
        <f>"05102540019"</f>
        <v>05102540019</v>
      </c>
      <c r="I2027" s="1" t="s">
        <v>836</v>
      </c>
      <c r="L2027" s="1" t="s">
        <v>43</v>
      </c>
      <c r="M2027" s="1">
        <v>6000</v>
      </c>
      <c r="AG2027" s="1">
        <v>3900</v>
      </c>
      <c r="AH2027" s="2">
        <v>45201</v>
      </c>
      <c r="AI2027" s="2">
        <v>45291</v>
      </c>
      <c r="AJ2027" s="2">
        <v>45201</v>
      </c>
    </row>
    <row r="2028" spans="1:36">
      <c r="A2028" s="1" t="str">
        <f>"ZD13D1DAC9"</f>
        <v>ZD13D1DAC9</v>
      </c>
      <c r="B2028" s="1" t="str">
        <f t="shared" si="41"/>
        <v>02406911202</v>
      </c>
      <c r="C2028" s="1" t="s">
        <v>13</v>
      </c>
      <c r="D2028" s="1" t="s">
        <v>180</v>
      </c>
      <c r="E2028" s="1" t="s">
        <v>281</v>
      </c>
      <c r="F2028" s="1" t="s">
        <v>158</v>
      </c>
      <c r="G2028" s="1" t="str">
        <f>"04289840268"</f>
        <v>04289840268</v>
      </c>
      <c r="I2028" s="1" t="s">
        <v>302</v>
      </c>
      <c r="L2028" s="1" t="s">
        <v>43</v>
      </c>
      <c r="M2028" s="1">
        <v>39999</v>
      </c>
      <c r="AG2028" s="1">
        <v>0</v>
      </c>
      <c r="AH2028" s="2">
        <v>45252</v>
      </c>
      <c r="AI2028" s="2">
        <v>45322</v>
      </c>
      <c r="AJ2028" s="2">
        <v>45252</v>
      </c>
    </row>
    <row r="2029" spans="1:36">
      <c r="A2029" s="1" t="str">
        <f>"ZD13D3DB92"</f>
        <v>ZD13D3DB92</v>
      </c>
      <c r="B2029" s="1" t="str">
        <f t="shared" si="41"/>
        <v>02406911202</v>
      </c>
      <c r="C2029" s="1" t="s">
        <v>13</v>
      </c>
      <c r="D2029" s="1" t="s">
        <v>177</v>
      </c>
      <c r="E2029" s="1" t="s">
        <v>2043</v>
      </c>
      <c r="F2029" s="1" t="s">
        <v>158</v>
      </c>
      <c r="G2029" s="1" t="str">
        <f>"RSSMRS52C42G535K"</f>
        <v>RSSMRS52C42G535K</v>
      </c>
      <c r="I2029" s="1" t="s">
        <v>411</v>
      </c>
      <c r="L2029" s="1" t="s">
        <v>43</v>
      </c>
      <c r="M2029" s="1">
        <v>1336</v>
      </c>
      <c r="AG2029" s="1">
        <v>1336</v>
      </c>
      <c r="AH2029" s="2">
        <v>45223</v>
      </c>
      <c r="AI2029" s="2">
        <v>45260</v>
      </c>
      <c r="AJ2029" s="2">
        <v>45223</v>
      </c>
    </row>
    <row r="2030" spans="1:36">
      <c r="A2030" s="1" t="str">
        <f>"ZD13D87DF0"</f>
        <v>ZD13D87DF0</v>
      </c>
      <c r="B2030" s="1" t="str">
        <f t="shared" si="41"/>
        <v>02406911202</v>
      </c>
      <c r="C2030" s="1" t="s">
        <v>13</v>
      </c>
      <c r="D2030" s="1" t="s">
        <v>186</v>
      </c>
      <c r="E2030" s="1" t="s">
        <v>2044</v>
      </c>
      <c r="F2030" s="1" t="s">
        <v>158</v>
      </c>
      <c r="G2030" s="1" t="str">
        <f>"08397890586"</f>
        <v>08397890586</v>
      </c>
      <c r="I2030" s="1" t="s">
        <v>1339</v>
      </c>
      <c r="L2030" s="1" t="s">
        <v>43</v>
      </c>
      <c r="M2030" s="1">
        <v>4990</v>
      </c>
      <c r="AG2030" s="1">
        <v>0</v>
      </c>
      <c r="AH2030" s="2">
        <v>45260</v>
      </c>
      <c r="AI2030" s="2">
        <v>45657</v>
      </c>
      <c r="AJ2030" s="2">
        <v>45260</v>
      </c>
    </row>
    <row r="2031" spans="1:36">
      <c r="A2031" s="1" t="str">
        <f>"ZD23CA2B41"</f>
        <v>ZD23CA2B41</v>
      </c>
      <c r="B2031" s="1" t="str">
        <f t="shared" si="41"/>
        <v>02406911202</v>
      </c>
      <c r="C2031" s="1" t="s">
        <v>13</v>
      </c>
      <c r="D2031" s="1" t="s">
        <v>180</v>
      </c>
      <c r="E2031" s="1" t="s">
        <v>220</v>
      </c>
      <c r="F2031" s="1" t="s">
        <v>158</v>
      </c>
      <c r="G2031" s="1" t="str">
        <f>"07424950157"</f>
        <v>07424950157</v>
      </c>
      <c r="I2031" s="1" t="s">
        <v>433</v>
      </c>
      <c r="L2031" s="1" t="s">
        <v>43</v>
      </c>
      <c r="M2031" s="1">
        <v>5000</v>
      </c>
      <c r="AG2031" s="1">
        <v>0</v>
      </c>
      <c r="AH2031" s="2">
        <v>45198</v>
      </c>
      <c r="AI2031" s="2">
        <v>45291</v>
      </c>
      <c r="AJ2031" s="2">
        <v>45198</v>
      </c>
    </row>
    <row r="2032" spans="1:36">
      <c r="A2032" s="1" t="str">
        <f>"ZD23D64684"</f>
        <v>ZD23D64684</v>
      </c>
      <c r="B2032" s="1" t="str">
        <f t="shared" si="41"/>
        <v>02406911202</v>
      </c>
      <c r="C2032" s="1" t="s">
        <v>13</v>
      </c>
      <c r="D2032" s="1" t="s">
        <v>180</v>
      </c>
      <c r="E2032" s="1" t="s">
        <v>279</v>
      </c>
      <c r="F2032" s="1" t="s">
        <v>158</v>
      </c>
      <c r="G2032" s="1" t="str">
        <f>"02483840423"</f>
        <v>02483840423</v>
      </c>
      <c r="I2032" s="1" t="s">
        <v>2045</v>
      </c>
      <c r="L2032" s="1" t="s">
        <v>43</v>
      </c>
      <c r="M2032" s="1">
        <v>6</v>
      </c>
      <c r="AG2032" s="1">
        <v>0</v>
      </c>
      <c r="AH2032" s="2">
        <v>45252</v>
      </c>
      <c r="AI2032" s="2">
        <v>45657</v>
      </c>
      <c r="AJ2032" s="2">
        <v>45252</v>
      </c>
    </row>
    <row r="2033" spans="1:36">
      <c r="A2033" s="1" t="str">
        <f>"ZD23D72FDE"</f>
        <v>ZD23D72FDE</v>
      </c>
      <c r="B2033" s="1" t="str">
        <f t="shared" si="41"/>
        <v>02406911202</v>
      </c>
      <c r="C2033" s="1" t="s">
        <v>13</v>
      </c>
      <c r="D2033" s="1" t="s">
        <v>186</v>
      </c>
      <c r="E2033" s="1" t="s">
        <v>2046</v>
      </c>
      <c r="F2033" s="1" t="s">
        <v>158</v>
      </c>
      <c r="G2033" s="1" t="str">
        <f>"11160660152"</f>
        <v>11160660152</v>
      </c>
      <c r="I2033" s="1" t="s">
        <v>457</v>
      </c>
      <c r="L2033" s="1" t="s">
        <v>43</v>
      </c>
      <c r="M2033" s="1">
        <v>4999</v>
      </c>
      <c r="AG2033" s="1">
        <v>0</v>
      </c>
      <c r="AH2033" s="2">
        <v>45254</v>
      </c>
      <c r="AI2033" s="2">
        <v>45657</v>
      </c>
      <c r="AJ2033" s="2">
        <v>45254</v>
      </c>
    </row>
    <row r="2034" spans="1:36">
      <c r="A2034" s="1" t="str">
        <f>"ZD23D96A80"</f>
        <v>ZD23D96A80</v>
      </c>
      <c r="B2034" s="1" t="str">
        <f t="shared" si="41"/>
        <v>02406911202</v>
      </c>
      <c r="C2034" s="1" t="s">
        <v>13</v>
      </c>
      <c r="D2034" s="1" t="s">
        <v>180</v>
      </c>
      <c r="E2034" s="1" t="s">
        <v>181</v>
      </c>
      <c r="F2034" s="1" t="s">
        <v>158</v>
      </c>
      <c r="G2034" s="1" t="str">
        <f>"02789580590"</f>
        <v>02789580590</v>
      </c>
      <c r="I2034" s="1" t="s">
        <v>182</v>
      </c>
      <c r="L2034" s="1" t="s">
        <v>43</v>
      </c>
      <c r="M2034" s="1">
        <v>6000</v>
      </c>
      <c r="AG2034" s="1">
        <v>0</v>
      </c>
      <c r="AH2034" s="2">
        <v>45264</v>
      </c>
      <c r="AI2034" s="2">
        <v>45291</v>
      </c>
      <c r="AJ2034" s="2">
        <v>45264</v>
      </c>
    </row>
    <row r="2035" spans="1:36">
      <c r="A2035" s="1" t="str">
        <f>"ZD33CCDFBC"</f>
        <v>ZD33CCDFBC</v>
      </c>
      <c r="B2035" s="1" t="str">
        <f t="shared" si="41"/>
        <v>02406911202</v>
      </c>
      <c r="C2035" s="1" t="s">
        <v>13</v>
      </c>
      <c r="D2035" s="1" t="s">
        <v>180</v>
      </c>
      <c r="E2035" s="1" t="s">
        <v>281</v>
      </c>
      <c r="F2035" s="1" t="s">
        <v>158</v>
      </c>
      <c r="G2035" s="1" t="str">
        <f>"01959100239"</f>
        <v>01959100239</v>
      </c>
      <c r="I2035" s="1" t="s">
        <v>2047</v>
      </c>
      <c r="L2035" s="1" t="s">
        <v>43</v>
      </c>
      <c r="M2035" s="1">
        <v>5000</v>
      </c>
      <c r="AG2035" s="1">
        <v>4950</v>
      </c>
      <c r="AH2035" s="2">
        <v>45210</v>
      </c>
      <c r="AI2035" s="2">
        <v>45291</v>
      </c>
      <c r="AJ2035" s="2">
        <v>45210</v>
      </c>
    </row>
    <row r="2036" spans="1:36">
      <c r="A2036" s="1" t="str">
        <f>"ZD33D74E88"</f>
        <v>ZD33D74E88</v>
      </c>
      <c r="B2036" s="1" t="str">
        <f t="shared" si="41"/>
        <v>02406911202</v>
      </c>
      <c r="C2036" s="1" t="s">
        <v>13</v>
      </c>
      <c r="D2036" s="1" t="s">
        <v>186</v>
      </c>
      <c r="E2036" s="1" t="s">
        <v>2048</v>
      </c>
      <c r="F2036" s="1" t="s">
        <v>158</v>
      </c>
      <c r="G2036" s="1" t="str">
        <f>"01900221209"</f>
        <v>01900221209</v>
      </c>
      <c r="I2036" s="1" t="s">
        <v>392</v>
      </c>
      <c r="L2036" s="1" t="s">
        <v>43</v>
      </c>
      <c r="M2036" s="1">
        <v>4999</v>
      </c>
      <c r="AG2036" s="1">
        <v>0</v>
      </c>
      <c r="AH2036" s="2">
        <v>45257</v>
      </c>
      <c r="AI2036" s="2">
        <v>46022</v>
      </c>
      <c r="AJ2036" s="2">
        <v>45257</v>
      </c>
    </row>
    <row r="2037" spans="1:36">
      <c r="A2037" s="1" t="str">
        <f>"ZD33D7A0E4"</f>
        <v>ZD33D7A0E4</v>
      </c>
      <c r="B2037" s="1" t="str">
        <f t="shared" si="41"/>
        <v>02406911202</v>
      </c>
      <c r="C2037" s="1" t="s">
        <v>13</v>
      </c>
      <c r="D2037" s="1" t="s">
        <v>180</v>
      </c>
      <c r="E2037" s="1" t="s">
        <v>296</v>
      </c>
      <c r="F2037" s="1" t="s">
        <v>158</v>
      </c>
      <c r="G2037" s="1" t="str">
        <f>"06068041000"</f>
        <v>06068041000</v>
      </c>
      <c r="I2037" s="1" t="s">
        <v>468</v>
      </c>
      <c r="L2037" s="1" t="s">
        <v>43</v>
      </c>
      <c r="M2037" s="1">
        <v>6000</v>
      </c>
      <c r="AG2037" s="1">
        <v>0</v>
      </c>
      <c r="AH2037" s="2">
        <v>45259</v>
      </c>
      <c r="AI2037" s="2">
        <v>45291</v>
      </c>
      <c r="AJ2037" s="2">
        <v>45259</v>
      </c>
    </row>
    <row r="2038" spans="1:36">
      <c r="A2038" s="1" t="str">
        <f>"ZD33DA4760"</f>
        <v>ZD33DA4760</v>
      </c>
      <c r="B2038" s="1" t="str">
        <f t="shared" si="41"/>
        <v>02406911202</v>
      </c>
      <c r="C2038" s="1" t="s">
        <v>13</v>
      </c>
      <c r="D2038" s="1" t="s">
        <v>180</v>
      </c>
      <c r="E2038" s="1" t="s">
        <v>2049</v>
      </c>
      <c r="F2038" s="1" t="s">
        <v>158</v>
      </c>
      <c r="G2038" s="1" t="str">
        <f>"08082461008"</f>
        <v>08082461008</v>
      </c>
      <c r="I2038" s="1" t="s">
        <v>88</v>
      </c>
      <c r="L2038" s="1" t="s">
        <v>43</v>
      </c>
      <c r="M2038" s="1">
        <v>6000</v>
      </c>
      <c r="AG2038" s="1">
        <v>0</v>
      </c>
      <c r="AH2038" s="2">
        <v>45266</v>
      </c>
      <c r="AI2038" s="2">
        <v>45657</v>
      </c>
      <c r="AJ2038" s="2">
        <v>45266</v>
      </c>
    </row>
    <row r="2039" spans="1:36">
      <c r="A2039" s="1" t="str">
        <f>"ZD43D0FFF8"</f>
        <v>ZD43D0FFF8</v>
      </c>
      <c r="B2039" s="1" t="str">
        <f t="shared" si="41"/>
        <v>02406911202</v>
      </c>
      <c r="C2039" s="1" t="s">
        <v>13</v>
      </c>
      <c r="D2039" s="1" t="s">
        <v>180</v>
      </c>
      <c r="E2039" s="1" t="s">
        <v>279</v>
      </c>
      <c r="F2039" s="1" t="s">
        <v>158</v>
      </c>
      <c r="G2039" s="1" t="str">
        <f>"06397950962"</f>
        <v>06397950962</v>
      </c>
      <c r="I2039" s="1" t="s">
        <v>2050</v>
      </c>
      <c r="L2039" s="1" t="s">
        <v>43</v>
      </c>
      <c r="M2039" s="1">
        <v>5000</v>
      </c>
      <c r="AG2039" s="1">
        <v>0</v>
      </c>
      <c r="AH2039" s="2">
        <v>45229</v>
      </c>
      <c r="AI2039" s="2">
        <v>45291</v>
      </c>
      <c r="AJ2039" s="2">
        <v>45229</v>
      </c>
    </row>
    <row r="2040" spans="1:36">
      <c r="A2040" s="1" t="str">
        <f>"ZD43D338A4"</f>
        <v>ZD43D338A4</v>
      </c>
      <c r="B2040" s="1" t="str">
        <f t="shared" si="41"/>
        <v>02406911202</v>
      </c>
      <c r="C2040" s="1" t="s">
        <v>13</v>
      </c>
      <c r="D2040" s="1" t="s">
        <v>167</v>
      </c>
      <c r="E2040" s="1" t="s">
        <v>1662</v>
      </c>
      <c r="F2040" s="1" t="s">
        <v>151</v>
      </c>
      <c r="G2040" s="1" t="str">
        <f>"00207810284"</f>
        <v>00207810284</v>
      </c>
      <c r="I2040" s="1" t="s">
        <v>699</v>
      </c>
      <c r="L2040" s="1" t="s">
        <v>43</v>
      </c>
      <c r="M2040" s="1">
        <v>1932</v>
      </c>
      <c r="AG2040" s="1">
        <v>0</v>
      </c>
      <c r="AH2040" s="2">
        <v>45239</v>
      </c>
      <c r="AI2040" s="2">
        <v>45351</v>
      </c>
      <c r="AJ2040" s="2">
        <v>45239</v>
      </c>
    </row>
    <row r="2041" spans="1:36">
      <c r="A2041" s="1" t="str">
        <f>"ZD43D430B3"</f>
        <v>ZD43D430B3</v>
      </c>
      <c r="B2041" s="1" t="str">
        <f t="shared" si="41"/>
        <v>02406911202</v>
      </c>
      <c r="C2041" s="1" t="s">
        <v>13</v>
      </c>
      <c r="D2041" s="1" t="s">
        <v>186</v>
      </c>
      <c r="E2041" s="1" t="s">
        <v>2051</v>
      </c>
      <c r="F2041" s="1" t="s">
        <v>158</v>
      </c>
      <c r="G2041" s="1" t="str">
        <f>"12300580151"</f>
        <v>12300580151</v>
      </c>
      <c r="I2041" s="1" t="s">
        <v>297</v>
      </c>
      <c r="L2041" s="1" t="s">
        <v>43</v>
      </c>
      <c r="M2041" s="1">
        <v>36097</v>
      </c>
      <c r="AG2041" s="1">
        <v>0</v>
      </c>
      <c r="AH2041" s="2">
        <v>45250</v>
      </c>
      <c r="AI2041" s="2">
        <v>45657</v>
      </c>
      <c r="AJ2041" s="2">
        <v>45250</v>
      </c>
    </row>
    <row r="2042" spans="1:36">
      <c r="A2042" s="1" t="str">
        <f>"ZD43DA5464"</f>
        <v>ZD43DA5464</v>
      </c>
      <c r="B2042" s="1" t="str">
        <f t="shared" si="41"/>
        <v>02406911202</v>
      </c>
      <c r="C2042" s="1" t="s">
        <v>13</v>
      </c>
      <c r="D2042" s="1" t="s">
        <v>180</v>
      </c>
      <c r="E2042" s="1" t="s">
        <v>181</v>
      </c>
      <c r="F2042" s="1" t="s">
        <v>158</v>
      </c>
      <c r="G2042" s="1" t="str">
        <f>"00228550273"</f>
        <v>00228550273</v>
      </c>
      <c r="I2042" s="1" t="s">
        <v>201</v>
      </c>
      <c r="L2042" s="1" t="s">
        <v>43</v>
      </c>
      <c r="M2042" s="1">
        <v>6600</v>
      </c>
      <c r="AG2042" s="1">
        <v>0</v>
      </c>
      <c r="AH2042" s="2">
        <v>45266</v>
      </c>
      <c r="AI2042" s="2">
        <v>45291</v>
      </c>
      <c r="AJ2042" s="2">
        <v>45266</v>
      </c>
    </row>
    <row r="2043" spans="1:36">
      <c r="A2043" s="1" t="str">
        <f>"ZD43DB1490"</f>
        <v>ZD43DB1490</v>
      </c>
      <c r="B2043" s="1" t="str">
        <f t="shared" si="41"/>
        <v>02406911202</v>
      </c>
      <c r="C2043" s="1" t="s">
        <v>13</v>
      </c>
      <c r="D2043" s="1" t="s">
        <v>180</v>
      </c>
      <c r="E2043" s="1" t="s">
        <v>220</v>
      </c>
      <c r="F2043" s="1" t="s">
        <v>158</v>
      </c>
      <c r="G2043" s="1" t="str">
        <f>"09238800156"</f>
        <v>09238800156</v>
      </c>
      <c r="I2043" s="1" t="s">
        <v>92</v>
      </c>
      <c r="L2043" s="1" t="s">
        <v>43</v>
      </c>
      <c r="M2043" s="1">
        <v>6000</v>
      </c>
      <c r="AG2043" s="1">
        <v>0</v>
      </c>
      <c r="AH2043" s="2">
        <v>45279</v>
      </c>
      <c r="AI2043" s="2">
        <v>45657</v>
      </c>
      <c r="AJ2043" s="2">
        <v>45279</v>
      </c>
    </row>
    <row r="2044" spans="1:36">
      <c r="A2044" s="1" t="str">
        <f>"ZD53CB1E3D"</f>
        <v>ZD53CB1E3D</v>
      </c>
      <c r="B2044" s="1" t="str">
        <f t="shared" si="41"/>
        <v>02406911202</v>
      </c>
      <c r="C2044" s="1" t="s">
        <v>13</v>
      </c>
      <c r="D2044" s="1" t="s">
        <v>167</v>
      </c>
      <c r="E2044" s="1" t="s">
        <v>2052</v>
      </c>
      <c r="F2044" s="1" t="s">
        <v>151</v>
      </c>
      <c r="G2044" s="1" t="str">
        <f>"02256250446"</f>
        <v>02256250446</v>
      </c>
      <c r="I2044" s="1" t="s">
        <v>403</v>
      </c>
      <c r="L2044" s="1" t="s">
        <v>43</v>
      </c>
      <c r="M2044" s="1">
        <v>2340</v>
      </c>
      <c r="AG2044" s="1">
        <v>0</v>
      </c>
      <c r="AH2044" s="2">
        <v>45215</v>
      </c>
      <c r="AI2044" s="2">
        <v>45945</v>
      </c>
      <c r="AJ2044" s="2">
        <v>45215</v>
      </c>
    </row>
    <row r="2045" spans="1:36">
      <c r="A2045" s="1" t="str">
        <f>"ZD53CEC791"</f>
        <v>ZD53CEC791</v>
      </c>
      <c r="B2045" s="1" t="str">
        <f t="shared" si="41"/>
        <v>02406911202</v>
      </c>
      <c r="C2045" s="1" t="s">
        <v>13</v>
      </c>
      <c r="D2045" s="1" t="s">
        <v>180</v>
      </c>
      <c r="E2045" s="1" t="s">
        <v>279</v>
      </c>
      <c r="F2045" s="1" t="s">
        <v>158</v>
      </c>
      <c r="G2045" s="1" t="str">
        <f>"02691021204"</f>
        <v>02691021204</v>
      </c>
      <c r="I2045" s="1" t="s">
        <v>2053</v>
      </c>
      <c r="L2045" s="1" t="s">
        <v>43</v>
      </c>
      <c r="M2045" s="1">
        <v>39999</v>
      </c>
      <c r="AG2045" s="1">
        <v>0</v>
      </c>
      <c r="AH2045" s="2">
        <v>45218</v>
      </c>
      <c r="AI2045" s="2">
        <v>45291</v>
      </c>
      <c r="AJ2045" s="2">
        <v>45218</v>
      </c>
    </row>
    <row r="2046" spans="1:36">
      <c r="A2046" s="1" t="str">
        <f>"ZD53D303F7"</f>
        <v>ZD53D303F7</v>
      </c>
      <c r="B2046" s="1" t="str">
        <f t="shared" si="41"/>
        <v>02406911202</v>
      </c>
      <c r="C2046" s="1" t="s">
        <v>13</v>
      </c>
      <c r="D2046" s="1" t="s">
        <v>180</v>
      </c>
      <c r="E2046" s="1" t="s">
        <v>181</v>
      </c>
      <c r="F2046" s="1" t="s">
        <v>158</v>
      </c>
      <c r="G2046" s="1" t="str">
        <f>"02158490595"</f>
        <v>02158490595</v>
      </c>
      <c r="I2046" s="1" t="s">
        <v>694</v>
      </c>
      <c r="L2046" s="1" t="s">
        <v>43</v>
      </c>
      <c r="M2046" s="1">
        <v>5000</v>
      </c>
      <c r="AG2046" s="1">
        <v>0</v>
      </c>
      <c r="AH2046" s="2">
        <v>45239</v>
      </c>
      <c r="AI2046" s="2">
        <v>45291</v>
      </c>
      <c r="AJ2046" s="2">
        <v>45239</v>
      </c>
    </row>
    <row r="2047" spans="1:36">
      <c r="A2047" s="1" t="str">
        <f>"ZD53DA46EF"</f>
        <v>ZD53DA46EF</v>
      </c>
      <c r="B2047" s="1" t="str">
        <f t="shared" si="41"/>
        <v>02406911202</v>
      </c>
      <c r="C2047" s="1" t="s">
        <v>13</v>
      </c>
      <c r="D2047" s="1" t="s">
        <v>180</v>
      </c>
      <c r="E2047" s="1" t="s">
        <v>296</v>
      </c>
      <c r="F2047" s="1" t="s">
        <v>158</v>
      </c>
      <c r="G2047" s="1" t="str">
        <f>"02129190373"</f>
        <v>02129190373</v>
      </c>
      <c r="I2047" s="1" t="s">
        <v>968</v>
      </c>
      <c r="L2047" s="1" t="s">
        <v>43</v>
      </c>
      <c r="M2047" s="1">
        <v>5000</v>
      </c>
      <c r="AG2047" s="1">
        <v>0</v>
      </c>
      <c r="AH2047" s="2">
        <v>45266</v>
      </c>
      <c r="AI2047" s="2">
        <v>45657</v>
      </c>
      <c r="AJ2047" s="2">
        <v>45266</v>
      </c>
    </row>
    <row r="2048" spans="1:36">
      <c r="A2048" s="1" t="str">
        <f>"ZD73CB19E0"</f>
        <v>ZD73CB19E0</v>
      </c>
      <c r="B2048" s="1" t="str">
        <f t="shared" si="41"/>
        <v>02406911202</v>
      </c>
      <c r="C2048" s="1" t="s">
        <v>13</v>
      </c>
      <c r="D2048" s="1" t="s">
        <v>167</v>
      </c>
      <c r="E2048" s="1" t="s">
        <v>2054</v>
      </c>
      <c r="F2048" s="1" t="s">
        <v>151</v>
      </c>
      <c r="G2048" s="1" t="str">
        <f>"02457060032"</f>
        <v>02457060032</v>
      </c>
      <c r="I2048" s="1" t="s">
        <v>320</v>
      </c>
      <c r="L2048" s="1" t="s">
        <v>43</v>
      </c>
      <c r="M2048" s="1">
        <v>750</v>
      </c>
      <c r="AG2048" s="1">
        <v>0</v>
      </c>
      <c r="AH2048" s="2">
        <v>45215</v>
      </c>
      <c r="AI2048" s="2">
        <v>45945</v>
      </c>
      <c r="AJ2048" s="2">
        <v>45215</v>
      </c>
    </row>
    <row r="2049" spans="1:36">
      <c r="A2049" s="1" t="str">
        <f>"ZD73CE9424"</f>
        <v>ZD73CE9424</v>
      </c>
      <c r="B2049" s="1" t="str">
        <f t="shared" si="41"/>
        <v>02406911202</v>
      </c>
      <c r="C2049" s="1" t="s">
        <v>13</v>
      </c>
      <c r="D2049" s="1" t="s">
        <v>186</v>
      </c>
      <c r="E2049" s="1" t="s">
        <v>2055</v>
      </c>
      <c r="F2049" s="1" t="s">
        <v>158</v>
      </c>
      <c r="G2049" s="1" t="str">
        <f>"13088630150"</f>
        <v>13088630150</v>
      </c>
      <c r="I2049" s="1" t="s">
        <v>2056</v>
      </c>
      <c r="L2049" s="1" t="s">
        <v>43</v>
      </c>
      <c r="M2049" s="1">
        <v>4999</v>
      </c>
      <c r="AG2049" s="1">
        <v>0</v>
      </c>
      <c r="AH2049" s="2">
        <v>45217</v>
      </c>
      <c r="AI2049" s="2">
        <v>46022</v>
      </c>
      <c r="AJ2049" s="2">
        <v>45217</v>
      </c>
    </row>
    <row r="2050" spans="1:36">
      <c r="A2050" s="1" t="str">
        <f>"ZD73CFAC8E"</f>
        <v>ZD73CFAC8E</v>
      </c>
      <c r="B2050" s="1" t="str">
        <f t="shared" ref="B2050:B2113" si="42">"02406911202"</f>
        <v>02406911202</v>
      </c>
      <c r="C2050" s="1" t="s">
        <v>13</v>
      </c>
      <c r="D2050" s="1" t="s">
        <v>164</v>
      </c>
      <c r="E2050" s="1" t="s">
        <v>2057</v>
      </c>
      <c r="F2050" s="1" t="s">
        <v>39</v>
      </c>
      <c r="G2050" s="1" t="str">
        <f>"01086690581"</f>
        <v>01086690581</v>
      </c>
      <c r="I2050" s="1" t="s">
        <v>1730</v>
      </c>
      <c r="L2050" s="1" t="s">
        <v>43</v>
      </c>
      <c r="M2050" s="1">
        <v>11500</v>
      </c>
      <c r="AG2050" s="1">
        <v>0</v>
      </c>
      <c r="AH2050" s="2">
        <v>45223</v>
      </c>
      <c r="AI2050" s="2">
        <v>45291</v>
      </c>
      <c r="AJ2050" s="2">
        <v>45223</v>
      </c>
    </row>
    <row r="2051" spans="1:36">
      <c r="A2051" s="1" t="str">
        <f>"ZD83D0DEBB"</f>
        <v>ZD83D0DEBB</v>
      </c>
      <c r="B2051" s="1" t="str">
        <f t="shared" si="42"/>
        <v>02406911202</v>
      </c>
      <c r="C2051" s="1" t="s">
        <v>13</v>
      </c>
      <c r="D2051" s="1" t="s">
        <v>180</v>
      </c>
      <c r="E2051" s="1" t="s">
        <v>281</v>
      </c>
      <c r="F2051" s="1" t="s">
        <v>158</v>
      </c>
      <c r="G2051" s="1" t="str">
        <f>"04289840268"</f>
        <v>04289840268</v>
      </c>
      <c r="I2051" s="1" t="s">
        <v>302</v>
      </c>
      <c r="L2051" s="1" t="s">
        <v>43</v>
      </c>
      <c r="M2051" s="1">
        <v>6000</v>
      </c>
      <c r="AG2051" s="1">
        <v>6380</v>
      </c>
      <c r="AH2051" s="2">
        <v>45229</v>
      </c>
      <c r="AI2051" s="2">
        <v>45291</v>
      </c>
      <c r="AJ2051" s="2">
        <v>45229</v>
      </c>
    </row>
    <row r="2052" spans="1:36">
      <c r="A2052" s="1" t="str">
        <f>"ZD83D2C21A"</f>
        <v>ZD83D2C21A</v>
      </c>
      <c r="B2052" s="1" t="str">
        <f t="shared" si="42"/>
        <v>02406911202</v>
      </c>
      <c r="C2052" s="1" t="s">
        <v>13</v>
      </c>
      <c r="D2052" s="1" t="s">
        <v>180</v>
      </c>
      <c r="E2052" s="1" t="s">
        <v>181</v>
      </c>
      <c r="F2052" s="1" t="s">
        <v>158</v>
      </c>
      <c r="G2052" s="1" t="str">
        <f>"12679540968"</f>
        <v>12679540968</v>
      </c>
      <c r="I2052" s="1" t="s">
        <v>1385</v>
      </c>
      <c r="L2052" s="1" t="s">
        <v>43</v>
      </c>
      <c r="M2052" s="1">
        <v>5000</v>
      </c>
      <c r="AG2052" s="1">
        <v>0</v>
      </c>
      <c r="AH2052" s="2">
        <v>45238</v>
      </c>
      <c r="AI2052" s="2">
        <v>45291</v>
      </c>
      <c r="AJ2052" s="2">
        <v>45238</v>
      </c>
    </row>
    <row r="2053" spans="1:36">
      <c r="A2053" s="1" t="str">
        <f>"ZD83D86269"</f>
        <v>ZD83D86269</v>
      </c>
      <c r="B2053" s="1" t="str">
        <f t="shared" si="42"/>
        <v>02406911202</v>
      </c>
      <c r="C2053" s="1" t="s">
        <v>13</v>
      </c>
      <c r="D2053" s="1" t="s">
        <v>180</v>
      </c>
      <c r="E2053" s="1" t="s">
        <v>185</v>
      </c>
      <c r="F2053" s="1" t="s">
        <v>158</v>
      </c>
      <c r="G2053" s="1" t="str">
        <f>"11654150157"</f>
        <v>11654150157</v>
      </c>
      <c r="I2053" s="1" t="s">
        <v>263</v>
      </c>
      <c r="L2053" s="1" t="s">
        <v>43</v>
      </c>
      <c r="M2053" s="1">
        <v>6000</v>
      </c>
      <c r="AG2053" s="1">
        <v>0</v>
      </c>
      <c r="AH2053" s="2">
        <v>45260</v>
      </c>
      <c r="AI2053" s="2">
        <v>45291</v>
      </c>
      <c r="AJ2053" s="2">
        <v>45260</v>
      </c>
    </row>
    <row r="2054" spans="1:36">
      <c r="A2054" s="1" t="str">
        <f>"ZD83DAF44E"</f>
        <v>ZD83DAF44E</v>
      </c>
      <c r="B2054" s="1" t="str">
        <f t="shared" si="42"/>
        <v>02406911202</v>
      </c>
      <c r="C2054" s="1" t="s">
        <v>13</v>
      </c>
      <c r="D2054" s="1" t="s">
        <v>167</v>
      </c>
      <c r="E2054" s="1" t="s">
        <v>2058</v>
      </c>
      <c r="F2054" s="1" t="s">
        <v>151</v>
      </c>
      <c r="G2054" s="1" t="str">
        <f>"08747570961"</f>
        <v>08747570961</v>
      </c>
      <c r="I2054" s="1" t="s">
        <v>2059</v>
      </c>
      <c r="L2054" s="1" t="s">
        <v>43</v>
      </c>
      <c r="M2054" s="1">
        <v>12960</v>
      </c>
      <c r="AG2054" s="1">
        <v>0</v>
      </c>
      <c r="AH2054" s="2">
        <v>45281</v>
      </c>
      <c r="AI2054" s="2">
        <v>46022</v>
      </c>
      <c r="AJ2054" s="2">
        <v>45281</v>
      </c>
    </row>
    <row r="2055" spans="1:36">
      <c r="A2055" s="1" t="str">
        <f>"ZD83DBCFEE"</f>
        <v>ZD83DBCFEE</v>
      </c>
      <c r="B2055" s="1" t="str">
        <f t="shared" si="42"/>
        <v>02406911202</v>
      </c>
      <c r="C2055" s="1" t="s">
        <v>13</v>
      </c>
      <c r="D2055" s="1" t="s">
        <v>180</v>
      </c>
      <c r="E2055" s="1" t="s">
        <v>296</v>
      </c>
      <c r="F2055" s="1" t="s">
        <v>158</v>
      </c>
      <c r="G2055" s="1" t="str">
        <f>"11160660152"</f>
        <v>11160660152</v>
      </c>
      <c r="I2055" s="1" t="s">
        <v>457</v>
      </c>
      <c r="L2055" s="1" t="s">
        <v>43</v>
      </c>
      <c r="M2055" s="1">
        <v>6000</v>
      </c>
      <c r="AG2055" s="1">
        <v>0</v>
      </c>
      <c r="AH2055" s="2">
        <v>45279</v>
      </c>
      <c r="AI2055" s="2">
        <v>45657</v>
      </c>
      <c r="AJ2055" s="2">
        <v>45279</v>
      </c>
    </row>
    <row r="2056" spans="1:36">
      <c r="A2056" s="1" t="str">
        <f>"ZD93CA2B2E"</f>
        <v>ZD93CA2B2E</v>
      </c>
      <c r="B2056" s="1" t="str">
        <f t="shared" si="42"/>
        <v>02406911202</v>
      </c>
      <c r="C2056" s="1" t="s">
        <v>13</v>
      </c>
      <c r="D2056" s="1" t="s">
        <v>180</v>
      </c>
      <c r="E2056" s="1" t="s">
        <v>220</v>
      </c>
      <c r="F2056" s="1" t="s">
        <v>158</v>
      </c>
      <c r="G2056" s="1" t="str">
        <f>"07862510018"</f>
        <v>07862510018</v>
      </c>
      <c r="I2056" s="1" t="s">
        <v>330</v>
      </c>
      <c r="L2056" s="1" t="s">
        <v>43</v>
      </c>
      <c r="M2056" s="1">
        <v>5000</v>
      </c>
      <c r="AG2056" s="1">
        <v>4770.2</v>
      </c>
      <c r="AH2056" s="2">
        <v>45198</v>
      </c>
      <c r="AI2056" s="2">
        <v>45291</v>
      </c>
      <c r="AJ2056" s="2">
        <v>45198</v>
      </c>
    </row>
    <row r="2057" spans="1:36">
      <c r="A2057" s="1" t="str">
        <f>"ZD93D0394D"</f>
        <v>ZD93D0394D</v>
      </c>
      <c r="B2057" s="1" t="str">
        <f t="shared" si="42"/>
        <v>02406911202</v>
      </c>
      <c r="C2057" s="1" t="s">
        <v>13</v>
      </c>
      <c r="D2057" s="1" t="s">
        <v>180</v>
      </c>
      <c r="E2057" s="1" t="s">
        <v>181</v>
      </c>
      <c r="F2057" s="1" t="s">
        <v>158</v>
      </c>
      <c r="G2057" s="1" t="str">
        <f>"00832400154"</f>
        <v>00832400154</v>
      </c>
      <c r="I2057" s="1" t="s">
        <v>641</v>
      </c>
      <c r="L2057" s="1" t="s">
        <v>43</v>
      </c>
      <c r="M2057" s="1">
        <v>5000</v>
      </c>
      <c r="AG2057" s="1">
        <v>5911.29</v>
      </c>
      <c r="AH2057" s="2">
        <v>45225</v>
      </c>
      <c r="AI2057" s="2">
        <v>45291</v>
      </c>
      <c r="AJ2057" s="2">
        <v>45225</v>
      </c>
    </row>
    <row r="2058" spans="1:36">
      <c r="A2058" s="1" t="str">
        <f>"ZDA3C97DE8"</f>
        <v>ZDA3C97DE8</v>
      </c>
      <c r="B2058" s="1" t="str">
        <f t="shared" si="42"/>
        <v>02406911202</v>
      </c>
      <c r="C2058" s="1" t="s">
        <v>13</v>
      </c>
      <c r="D2058" s="1" t="s">
        <v>180</v>
      </c>
      <c r="E2058" s="1" t="s">
        <v>185</v>
      </c>
      <c r="F2058" s="1" t="s">
        <v>158</v>
      </c>
      <c r="G2058" s="1" t="str">
        <f>"00832400154"</f>
        <v>00832400154</v>
      </c>
      <c r="I2058" s="1" t="s">
        <v>641</v>
      </c>
      <c r="L2058" s="1" t="s">
        <v>43</v>
      </c>
      <c r="M2058" s="1">
        <v>5000</v>
      </c>
      <c r="AG2058" s="1">
        <v>5264.07</v>
      </c>
      <c r="AH2058" s="2">
        <v>45195</v>
      </c>
      <c r="AI2058" s="2">
        <v>45291</v>
      </c>
      <c r="AJ2058" s="2">
        <v>45195</v>
      </c>
    </row>
    <row r="2059" spans="1:36">
      <c r="A2059" s="1" t="str">
        <f>"ZDA3D2E5F0"</f>
        <v>ZDA3D2E5F0</v>
      </c>
      <c r="B2059" s="1" t="str">
        <f t="shared" si="42"/>
        <v>02406911202</v>
      </c>
      <c r="C2059" s="1" t="s">
        <v>13</v>
      </c>
      <c r="D2059" s="1" t="s">
        <v>186</v>
      </c>
      <c r="E2059" s="1" t="s">
        <v>2060</v>
      </c>
      <c r="F2059" s="1" t="s">
        <v>158</v>
      </c>
      <c r="G2059" s="1" t="str">
        <f>"06324460150"</f>
        <v>06324460150</v>
      </c>
      <c r="I2059" s="1" t="s">
        <v>451</v>
      </c>
      <c r="L2059" s="1" t="s">
        <v>43</v>
      </c>
      <c r="M2059" s="1">
        <v>5998.8</v>
      </c>
      <c r="AG2059" s="1">
        <v>0</v>
      </c>
      <c r="AH2059" s="2">
        <v>45238</v>
      </c>
      <c r="AI2059" s="2">
        <v>46022</v>
      </c>
      <c r="AJ2059" s="2">
        <v>45238</v>
      </c>
    </row>
    <row r="2060" spans="1:36">
      <c r="A2060" s="1" t="str">
        <f>"ZDA3D30455"</f>
        <v>ZDA3D30455</v>
      </c>
      <c r="B2060" s="1" t="str">
        <f t="shared" si="42"/>
        <v>02406911202</v>
      </c>
      <c r="C2060" s="1" t="s">
        <v>13</v>
      </c>
      <c r="D2060" s="1" t="s">
        <v>180</v>
      </c>
      <c r="E2060" s="1" t="s">
        <v>181</v>
      </c>
      <c r="F2060" s="1" t="s">
        <v>158</v>
      </c>
      <c r="G2060" s="1" t="str">
        <f>"10616310156"</f>
        <v>10616310156</v>
      </c>
      <c r="I2060" s="1" t="s">
        <v>1474</v>
      </c>
      <c r="L2060" s="1" t="s">
        <v>43</v>
      </c>
      <c r="M2060" s="1">
        <v>5000</v>
      </c>
      <c r="AG2060" s="1">
        <v>0</v>
      </c>
      <c r="AH2060" s="2">
        <v>45239</v>
      </c>
      <c r="AI2060" s="2">
        <v>45291</v>
      </c>
      <c r="AJ2060" s="2">
        <v>45239</v>
      </c>
    </row>
    <row r="2061" spans="1:36">
      <c r="A2061" s="1" t="str">
        <f>"ZDA3DA0792"</f>
        <v>ZDA3DA0792</v>
      </c>
      <c r="B2061" s="1" t="str">
        <f t="shared" si="42"/>
        <v>02406911202</v>
      </c>
      <c r="C2061" s="1" t="s">
        <v>13</v>
      </c>
      <c r="D2061" s="1" t="s">
        <v>186</v>
      </c>
      <c r="E2061" s="1" t="s">
        <v>2061</v>
      </c>
      <c r="F2061" s="1" t="s">
        <v>158</v>
      </c>
      <c r="G2061" s="1" t="str">
        <f>"04270270400"</f>
        <v>04270270400</v>
      </c>
      <c r="I2061" s="1" t="s">
        <v>808</v>
      </c>
      <c r="L2061" s="1" t="s">
        <v>43</v>
      </c>
      <c r="M2061" s="1">
        <v>4999</v>
      </c>
      <c r="AG2061" s="1">
        <v>0</v>
      </c>
      <c r="AH2061" s="2">
        <v>45231</v>
      </c>
      <c r="AI2061" s="2">
        <v>45657</v>
      </c>
      <c r="AJ2061" s="2">
        <v>45231</v>
      </c>
    </row>
    <row r="2062" spans="1:36">
      <c r="A2062" s="1" t="str">
        <f>"ZDA3DC1615"</f>
        <v>ZDA3DC1615</v>
      </c>
      <c r="B2062" s="1" t="str">
        <f t="shared" si="42"/>
        <v>02406911202</v>
      </c>
      <c r="C2062" s="1" t="s">
        <v>13</v>
      </c>
      <c r="D2062" s="1" t="s">
        <v>167</v>
      </c>
      <c r="E2062" s="1" t="s">
        <v>2062</v>
      </c>
      <c r="F2062" s="1" t="s">
        <v>158</v>
      </c>
      <c r="G2062" s="1" t="str">
        <f>"00399810589"</f>
        <v>00399810589</v>
      </c>
      <c r="I2062" s="1" t="s">
        <v>1522</v>
      </c>
      <c r="L2062" s="1" t="s">
        <v>43</v>
      </c>
      <c r="M2062" s="1">
        <v>1091.79</v>
      </c>
      <c r="AG2062" s="1">
        <v>0</v>
      </c>
      <c r="AH2062" s="2">
        <v>45279</v>
      </c>
      <c r="AI2062" s="2">
        <v>45291</v>
      </c>
      <c r="AJ2062" s="2">
        <v>45279</v>
      </c>
    </row>
    <row r="2063" spans="1:36">
      <c r="A2063" s="1" t="str">
        <f>"ZDB3CB1417"</f>
        <v>ZDB3CB1417</v>
      </c>
      <c r="B2063" s="1" t="str">
        <f t="shared" si="42"/>
        <v>02406911202</v>
      </c>
      <c r="C2063" s="1" t="s">
        <v>13</v>
      </c>
      <c r="D2063" s="1" t="s">
        <v>186</v>
      </c>
      <c r="E2063" s="1" t="s">
        <v>2063</v>
      </c>
      <c r="F2063" s="1" t="s">
        <v>158</v>
      </c>
      <c r="G2063" s="1" t="str">
        <f>"03570491203"</f>
        <v>03570491203</v>
      </c>
      <c r="I2063" s="1" t="s">
        <v>2064</v>
      </c>
      <c r="L2063" s="1" t="s">
        <v>43</v>
      </c>
      <c r="M2063" s="1">
        <v>4999</v>
      </c>
      <c r="AG2063" s="1">
        <v>360</v>
      </c>
      <c r="AH2063" s="2">
        <v>45202</v>
      </c>
      <c r="AI2063" s="2">
        <v>46022</v>
      </c>
      <c r="AJ2063" s="2">
        <v>45202</v>
      </c>
    </row>
    <row r="2064" spans="1:36">
      <c r="A2064" s="1" t="str">
        <f>"ZDB3D64BE2"</f>
        <v>ZDB3D64BE2</v>
      </c>
      <c r="B2064" s="1" t="str">
        <f t="shared" si="42"/>
        <v>02406911202</v>
      </c>
      <c r="C2064" s="1" t="s">
        <v>13</v>
      </c>
      <c r="D2064" s="1" t="s">
        <v>180</v>
      </c>
      <c r="E2064" s="1" t="s">
        <v>181</v>
      </c>
      <c r="F2064" s="1" t="s">
        <v>158</v>
      </c>
      <c r="G2064" s="1" t="str">
        <f>"00701480584"</f>
        <v>00701480584</v>
      </c>
      <c r="I2064" s="1" t="s">
        <v>2065</v>
      </c>
      <c r="L2064" s="1" t="s">
        <v>43</v>
      </c>
      <c r="M2064" s="1">
        <v>5000</v>
      </c>
      <c r="AG2064" s="1">
        <v>0</v>
      </c>
      <c r="AH2064" s="2">
        <v>45252</v>
      </c>
      <c r="AI2064" s="2">
        <v>45291</v>
      </c>
      <c r="AJ2064" s="2">
        <v>45252</v>
      </c>
    </row>
    <row r="2065" spans="1:36">
      <c r="A2065" s="1" t="str">
        <f>"ZDB3D6A22A"</f>
        <v>ZDB3D6A22A</v>
      </c>
      <c r="B2065" s="1" t="str">
        <f t="shared" si="42"/>
        <v>02406911202</v>
      </c>
      <c r="C2065" s="1" t="s">
        <v>13</v>
      </c>
      <c r="D2065" s="1" t="s">
        <v>177</v>
      </c>
      <c r="E2065" s="1" t="s">
        <v>2066</v>
      </c>
      <c r="F2065" s="1" t="s">
        <v>158</v>
      </c>
      <c r="G2065" s="1" t="str">
        <f>"04144000371"</f>
        <v>04144000371</v>
      </c>
      <c r="I2065" s="1" t="s">
        <v>256</v>
      </c>
      <c r="L2065" s="1" t="s">
        <v>43</v>
      </c>
      <c r="M2065" s="1">
        <v>150000</v>
      </c>
      <c r="AG2065" s="1">
        <v>0</v>
      </c>
      <c r="AH2065" s="2">
        <v>45178</v>
      </c>
      <c r="AI2065" s="2">
        <v>45961</v>
      </c>
      <c r="AJ2065" s="2">
        <v>45178</v>
      </c>
    </row>
    <row r="2066" spans="1:36">
      <c r="A2066" s="1" t="str">
        <f>"ZDC3CFBBA1"</f>
        <v>ZDC3CFBBA1</v>
      </c>
      <c r="B2066" s="1" t="str">
        <f t="shared" si="42"/>
        <v>02406911202</v>
      </c>
      <c r="C2066" s="1" t="s">
        <v>13</v>
      </c>
      <c r="D2066" s="1" t="s">
        <v>180</v>
      </c>
      <c r="E2066" s="1" t="s">
        <v>281</v>
      </c>
      <c r="F2066" s="1" t="s">
        <v>158</v>
      </c>
      <c r="G2066" s="1" t="str">
        <f>"15685941005"</f>
        <v>15685941005</v>
      </c>
      <c r="I2066" s="1" t="s">
        <v>1495</v>
      </c>
      <c r="L2066" s="1" t="s">
        <v>43</v>
      </c>
      <c r="M2066" s="1">
        <v>6000</v>
      </c>
      <c r="AG2066" s="1">
        <v>4119.96</v>
      </c>
      <c r="AH2066" s="2">
        <v>45223</v>
      </c>
      <c r="AI2066" s="2">
        <v>45291</v>
      </c>
      <c r="AJ2066" s="2">
        <v>45223</v>
      </c>
    </row>
    <row r="2067" spans="1:36">
      <c r="A2067" s="1" t="str">
        <f>"ZDC3D945FA"</f>
        <v>ZDC3D945FA</v>
      </c>
      <c r="B2067" s="1" t="str">
        <f t="shared" si="42"/>
        <v>02406911202</v>
      </c>
      <c r="C2067" s="1" t="s">
        <v>13</v>
      </c>
      <c r="D2067" s="1" t="s">
        <v>180</v>
      </c>
      <c r="E2067" s="1" t="s">
        <v>220</v>
      </c>
      <c r="F2067" s="1" t="s">
        <v>158</v>
      </c>
      <c r="G2067" s="1" t="str">
        <f>"07123400157"</f>
        <v>07123400157</v>
      </c>
      <c r="I2067" s="1" t="s">
        <v>120</v>
      </c>
      <c r="L2067" s="1" t="s">
        <v>43</v>
      </c>
      <c r="M2067" s="1">
        <v>6000</v>
      </c>
      <c r="AG2067" s="1">
        <v>0</v>
      </c>
      <c r="AH2067" s="2">
        <v>45265</v>
      </c>
      <c r="AI2067" s="2">
        <v>45657</v>
      </c>
      <c r="AJ2067" s="2">
        <v>45265</v>
      </c>
    </row>
    <row r="2068" spans="1:36">
      <c r="A2068" s="1" t="str">
        <f>"ZDD3CE2BDE"</f>
        <v>ZDD3CE2BDE</v>
      </c>
      <c r="B2068" s="1" t="str">
        <f t="shared" si="42"/>
        <v>02406911202</v>
      </c>
      <c r="C2068" s="1" t="s">
        <v>13</v>
      </c>
      <c r="D2068" s="1" t="s">
        <v>264</v>
      </c>
      <c r="E2068" s="1" t="s">
        <v>2067</v>
      </c>
      <c r="F2068" s="1" t="s">
        <v>158</v>
      </c>
      <c r="G2068" s="1" t="str">
        <f>"01398140481"</f>
        <v>01398140481</v>
      </c>
      <c r="I2068" s="1" t="s">
        <v>2068</v>
      </c>
      <c r="L2068" s="1" t="s">
        <v>43</v>
      </c>
      <c r="M2068" s="1">
        <v>370</v>
      </c>
      <c r="AG2068" s="1">
        <v>0</v>
      </c>
      <c r="AH2068" s="2">
        <v>45216</v>
      </c>
      <c r="AI2068" s="2">
        <v>45260</v>
      </c>
      <c r="AJ2068" s="2">
        <v>45216</v>
      </c>
    </row>
    <row r="2069" spans="1:36">
      <c r="A2069" s="1" t="str">
        <f>"ZDD3D41F84"</f>
        <v>ZDD3D41F84</v>
      </c>
      <c r="B2069" s="1" t="str">
        <f t="shared" si="42"/>
        <v>02406911202</v>
      </c>
      <c r="C2069" s="1" t="s">
        <v>13</v>
      </c>
      <c r="D2069" s="1" t="s">
        <v>180</v>
      </c>
      <c r="E2069" s="1" t="s">
        <v>220</v>
      </c>
      <c r="F2069" s="1" t="s">
        <v>158</v>
      </c>
      <c r="G2069" s="1" t="str">
        <f>"07862510018"</f>
        <v>07862510018</v>
      </c>
      <c r="I2069" s="1" t="s">
        <v>330</v>
      </c>
      <c r="L2069" s="1" t="s">
        <v>43</v>
      </c>
      <c r="M2069" s="1">
        <v>6000</v>
      </c>
      <c r="AG2069" s="1">
        <v>0</v>
      </c>
      <c r="AH2069" s="2">
        <v>45245</v>
      </c>
      <c r="AI2069" s="2">
        <v>45657</v>
      </c>
      <c r="AJ2069" s="2">
        <v>45245</v>
      </c>
    </row>
    <row r="2070" spans="1:36">
      <c r="A2070" s="1" t="str">
        <f>"ZDD3D45A58"</f>
        <v>ZDD3D45A58</v>
      </c>
      <c r="B2070" s="1" t="str">
        <f t="shared" si="42"/>
        <v>02406911202</v>
      </c>
      <c r="C2070" s="1" t="s">
        <v>13</v>
      </c>
      <c r="D2070" s="1" t="s">
        <v>177</v>
      </c>
      <c r="E2070" s="1" t="s">
        <v>2069</v>
      </c>
      <c r="F2070" s="1" t="s">
        <v>158</v>
      </c>
      <c r="G2070" s="1" t="str">
        <f>"91417240370"</f>
        <v>91417240370</v>
      </c>
      <c r="I2070" s="1" t="s">
        <v>2070</v>
      </c>
      <c r="L2070" s="1" t="s">
        <v>43</v>
      </c>
      <c r="M2070" s="1">
        <v>1700</v>
      </c>
      <c r="AG2070" s="1">
        <v>0</v>
      </c>
      <c r="AH2070" s="2">
        <v>45139</v>
      </c>
      <c r="AI2070" s="2">
        <v>45291</v>
      </c>
      <c r="AJ2070" s="2">
        <v>45139</v>
      </c>
    </row>
    <row r="2071" spans="1:36">
      <c r="A2071" s="1" t="str">
        <f>"ZDD3D4D3EC"</f>
        <v>ZDD3D4D3EC</v>
      </c>
      <c r="B2071" s="1" t="str">
        <f t="shared" si="42"/>
        <v>02406911202</v>
      </c>
      <c r="C2071" s="1" t="s">
        <v>13</v>
      </c>
      <c r="D2071" s="1" t="s">
        <v>186</v>
      </c>
      <c r="E2071" s="1" t="s">
        <v>2071</v>
      </c>
      <c r="F2071" s="1" t="s">
        <v>158</v>
      </c>
      <c r="G2071" s="1" t="str">
        <f>"10491670963"</f>
        <v>10491670963</v>
      </c>
      <c r="I2071" s="1" t="s">
        <v>2072</v>
      </c>
      <c r="L2071" s="1" t="s">
        <v>43</v>
      </c>
      <c r="M2071" s="1">
        <v>4999</v>
      </c>
      <c r="AG2071" s="1">
        <v>0</v>
      </c>
      <c r="AH2071" s="2">
        <v>45246</v>
      </c>
      <c r="AI2071" s="2">
        <v>46387</v>
      </c>
      <c r="AJ2071" s="2">
        <v>45246</v>
      </c>
    </row>
    <row r="2072" spans="1:36">
      <c r="A2072" s="1" t="str">
        <f>"ZDD3D7B24B"</f>
        <v>ZDD3D7B24B</v>
      </c>
      <c r="B2072" s="1" t="str">
        <f t="shared" si="42"/>
        <v>02406911202</v>
      </c>
      <c r="C2072" s="1" t="s">
        <v>13</v>
      </c>
      <c r="D2072" s="1" t="s">
        <v>180</v>
      </c>
      <c r="E2072" s="1" t="s">
        <v>281</v>
      </c>
      <c r="F2072" s="1" t="s">
        <v>158</v>
      </c>
      <c r="G2072" s="1" t="str">
        <f>"12572900152"</f>
        <v>12572900152</v>
      </c>
      <c r="I2072" s="1" t="s">
        <v>335</v>
      </c>
      <c r="L2072" s="1" t="s">
        <v>43</v>
      </c>
      <c r="M2072" s="1">
        <v>6000</v>
      </c>
      <c r="AG2072" s="1">
        <v>0</v>
      </c>
      <c r="AH2072" s="2">
        <v>45258</v>
      </c>
      <c r="AI2072" s="2">
        <v>45291</v>
      </c>
      <c r="AJ2072" s="2">
        <v>45258</v>
      </c>
    </row>
    <row r="2073" spans="1:36">
      <c r="A2073" s="1" t="str">
        <f>"ZDD3DD9A2D"</f>
        <v>ZDD3DD9A2D</v>
      </c>
      <c r="B2073" s="1" t="str">
        <f t="shared" si="42"/>
        <v>02406911202</v>
      </c>
      <c r="C2073" s="1" t="s">
        <v>13</v>
      </c>
      <c r="D2073" s="1" t="s">
        <v>264</v>
      </c>
      <c r="E2073" s="1" t="s">
        <v>2073</v>
      </c>
      <c r="F2073" s="1" t="s">
        <v>158</v>
      </c>
      <c r="G2073" s="1" t="str">
        <f>"01769780675"</f>
        <v>01769780675</v>
      </c>
      <c r="I2073" s="1" t="s">
        <v>750</v>
      </c>
      <c r="L2073" s="1" t="s">
        <v>43</v>
      </c>
      <c r="M2073" s="1">
        <v>42</v>
      </c>
      <c r="AG2073" s="1">
        <v>0</v>
      </c>
      <c r="AH2073" s="2">
        <v>45279</v>
      </c>
      <c r="AI2073" s="2">
        <v>45291</v>
      </c>
      <c r="AJ2073" s="2">
        <v>45279</v>
      </c>
    </row>
    <row r="2074" spans="1:36">
      <c r="A2074" s="1" t="str">
        <f>"ZDE3CA50CE"</f>
        <v>ZDE3CA50CE</v>
      </c>
      <c r="B2074" s="1" t="str">
        <f t="shared" si="42"/>
        <v>02406911202</v>
      </c>
      <c r="C2074" s="1" t="s">
        <v>13</v>
      </c>
      <c r="D2074" s="1" t="s">
        <v>186</v>
      </c>
      <c r="E2074" s="1" t="s">
        <v>2074</v>
      </c>
      <c r="F2074" s="1" t="s">
        <v>158</v>
      </c>
      <c r="G2074" s="1" t="str">
        <f>"01857820284"</f>
        <v>01857820284</v>
      </c>
      <c r="I2074" s="1" t="s">
        <v>2075</v>
      </c>
      <c r="L2074" s="1" t="s">
        <v>43</v>
      </c>
      <c r="M2074" s="1">
        <v>4999</v>
      </c>
      <c r="AG2074" s="1">
        <v>0</v>
      </c>
      <c r="AH2074" s="2">
        <v>45198</v>
      </c>
      <c r="AI2074" s="2">
        <v>46022</v>
      </c>
      <c r="AJ2074" s="2">
        <v>45198</v>
      </c>
    </row>
    <row r="2075" spans="1:36">
      <c r="A2075" s="1" t="str">
        <f>"ZDE3D18FDA"</f>
        <v>ZDE3D18FDA</v>
      </c>
      <c r="B2075" s="1" t="str">
        <f t="shared" si="42"/>
        <v>02406911202</v>
      </c>
      <c r="C2075" s="1" t="s">
        <v>13</v>
      </c>
      <c r="D2075" s="1" t="s">
        <v>180</v>
      </c>
      <c r="E2075" s="1" t="s">
        <v>279</v>
      </c>
      <c r="F2075" s="1" t="s">
        <v>158</v>
      </c>
      <c r="G2075" s="1" t="str">
        <f>"07995660581"</f>
        <v>07995660581</v>
      </c>
      <c r="I2075" s="1" t="s">
        <v>2076</v>
      </c>
      <c r="L2075" s="1" t="s">
        <v>43</v>
      </c>
      <c r="M2075" s="1">
        <v>5000</v>
      </c>
      <c r="AG2075" s="1">
        <v>0</v>
      </c>
      <c r="AH2075" s="2">
        <v>45232</v>
      </c>
      <c r="AI2075" s="2">
        <v>45291</v>
      </c>
      <c r="AJ2075" s="2">
        <v>45232</v>
      </c>
    </row>
    <row r="2076" spans="1:36">
      <c r="A2076" s="1" t="str">
        <f>"ZDE3D78D4E"</f>
        <v>ZDE3D78D4E</v>
      </c>
      <c r="B2076" s="1" t="str">
        <f t="shared" si="42"/>
        <v>02406911202</v>
      </c>
      <c r="C2076" s="1" t="s">
        <v>13</v>
      </c>
      <c r="D2076" s="1" t="s">
        <v>186</v>
      </c>
      <c r="E2076" s="1" t="s">
        <v>2077</v>
      </c>
      <c r="F2076" s="1" t="s">
        <v>158</v>
      </c>
      <c r="G2076" s="1" t="str">
        <f>"01542210222"</f>
        <v>01542210222</v>
      </c>
      <c r="I2076" s="1" t="s">
        <v>2078</v>
      </c>
      <c r="L2076" s="1" t="s">
        <v>43</v>
      </c>
      <c r="M2076" s="1">
        <v>4999</v>
      </c>
      <c r="AG2076" s="1">
        <v>0</v>
      </c>
      <c r="AH2076" s="2">
        <v>45257</v>
      </c>
      <c r="AI2076" s="2">
        <v>45382</v>
      </c>
      <c r="AJ2076" s="2">
        <v>45257</v>
      </c>
    </row>
    <row r="2077" spans="1:36">
      <c r="A2077" s="1" t="str">
        <f>"ZDE3D7A0EA"</f>
        <v>ZDE3D7A0EA</v>
      </c>
      <c r="B2077" s="1" t="str">
        <f t="shared" si="42"/>
        <v>02406911202</v>
      </c>
      <c r="C2077" s="1" t="s">
        <v>13</v>
      </c>
      <c r="D2077" s="1" t="s">
        <v>180</v>
      </c>
      <c r="E2077" s="1" t="s">
        <v>296</v>
      </c>
      <c r="F2077" s="1" t="s">
        <v>158</v>
      </c>
      <c r="G2077" s="1" t="str">
        <f>"01681100150"</f>
        <v>01681100150</v>
      </c>
      <c r="I2077" s="1" t="s">
        <v>494</v>
      </c>
      <c r="L2077" s="1" t="s">
        <v>43</v>
      </c>
      <c r="M2077" s="1">
        <v>5000</v>
      </c>
      <c r="AG2077" s="1">
        <v>0</v>
      </c>
      <c r="AH2077" s="2">
        <v>45259</v>
      </c>
      <c r="AI2077" s="2">
        <v>45657</v>
      </c>
      <c r="AJ2077" s="2">
        <v>45259</v>
      </c>
    </row>
    <row r="2078" spans="1:36">
      <c r="A2078" s="1" t="str">
        <f>"ZDF3DAF14A"</f>
        <v>ZDF3DAF14A</v>
      </c>
      <c r="B2078" s="1" t="str">
        <f t="shared" si="42"/>
        <v>02406911202</v>
      </c>
      <c r="C2078" s="1" t="s">
        <v>13</v>
      </c>
      <c r="D2078" s="1" t="s">
        <v>167</v>
      </c>
      <c r="E2078" s="1" t="s">
        <v>2079</v>
      </c>
      <c r="F2078" s="1" t="s">
        <v>151</v>
      </c>
      <c r="G2078" s="1" t="str">
        <f>"01679130060"</f>
        <v>01679130060</v>
      </c>
      <c r="I2078" s="1" t="s">
        <v>447</v>
      </c>
      <c r="L2078" s="1" t="s">
        <v>43</v>
      </c>
      <c r="M2078" s="1">
        <v>11927.27</v>
      </c>
      <c r="AG2078" s="1">
        <v>0</v>
      </c>
      <c r="AH2078" s="2">
        <v>45281</v>
      </c>
      <c r="AI2078" s="2">
        <v>46022</v>
      </c>
      <c r="AJ2078" s="2">
        <v>45281</v>
      </c>
    </row>
    <row r="2079" spans="1:36">
      <c r="A2079" s="1" t="str">
        <f>"ZDF3DC3FA1"</f>
        <v>ZDF3DC3FA1</v>
      </c>
      <c r="B2079" s="1" t="str">
        <f t="shared" si="42"/>
        <v>02406911202</v>
      </c>
      <c r="C2079" s="1" t="s">
        <v>13</v>
      </c>
      <c r="D2079" s="1" t="s">
        <v>180</v>
      </c>
      <c r="E2079" s="1" t="s">
        <v>279</v>
      </c>
      <c r="F2079" s="1" t="s">
        <v>158</v>
      </c>
      <c r="G2079" s="1" t="str">
        <f>"11317290150"</f>
        <v>11317290150</v>
      </c>
      <c r="I2079" s="1" t="s">
        <v>2080</v>
      </c>
      <c r="L2079" s="1" t="s">
        <v>43</v>
      </c>
      <c r="M2079" s="1">
        <v>5000</v>
      </c>
      <c r="AG2079" s="1">
        <v>0</v>
      </c>
      <c r="AH2079" s="2">
        <v>45274</v>
      </c>
      <c r="AI2079" s="2">
        <v>45291</v>
      </c>
      <c r="AJ2079" s="2">
        <v>45274</v>
      </c>
    </row>
    <row r="2080" spans="1:36">
      <c r="A2080" s="1" t="str">
        <f>"ZE03D45545"</f>
        <v>ZE03D45545</v>
      </c>
      <c r="B2080" s="1" t="str">
        <f t="shared" si="42"/>
        <v>02406911202</v>
      </c>
      <c r="C2080" s="1" t="s">
        <v>13</v>
      </c>
      <c r="D2080" s="1" t="s">
        <v>177</v>
      </c>
      <c r="E2080" s="1" t="s">
        <v>2081</v>
      </c>
      <c r="F2080" s="1" t="s">
        <v>158</v>
      </c>
      <c r="G2080" s="1" t="str">
        <f>"91449800373"</f>
        <v>91449800373</v>
      </c>
      <c r="I2080" s="1" t="s">
        <v>2082</v>
      </c>
      <c r="L2080" s="1" t="s">
        <v>43</v>
      </c>
      <c r="M2080" s="1">
        <v>2250</v>
      </c>
      <c r="AG2080" s="1">
        <v>0</v>
      </c>
      <c r="AH2080" s="2">
        <v>45139</v>
      </c>
      <c r="AI2080" s="2">
        <v>45291</v>
      </c>
      <c r="AJ2080" s="2">
        <v>45139</v>
      </c>
    </row>
    <row r="2081" spans="1:36">
      <c r="A2081" s="1" t="str">
        <f>"ZE03D49405"</f>
        <v>ZE03D49405</v>
      </c>
      <c r="B2081" s="1" t="str">
        <f t="shared" si="42"/>
        <v>02406911202</v>
      </c>
      <c r="C2081" s="1" t="s">
        <v>13</v>
      </c>
      <c r="D2081" s="1" t="s">
        <v>177</v>
      </c>
      <c r="E2081" s="1" t="s">
        <v>2083</v>
      </c>
      <c r="F2081" s="1" t="s">
        <v>158</v>
      </c>
      <c r="G2081" s="1" t="str">
        <f>"01054710379"</f>
        <v>01054710379</v>
      </c>
      <c r="I2081" s="1" t="s">
        <v>238</v>
      </c>
      <c r="L2081" s="1" t="s">
        <v>43</v>
      </c>
      <c r="M2081" s="1">
        <v>370000</v>
      </c>
      <c r="AG2081" s="1">
        <v>0</v>
      </c>
      <c r="AH2081" s="2">
        <v>45231</v>
      </c>
      <c r="AI2081" s="2">
        <v>45961</v>
      </c>
      <c r="AJ2081" s="2">
        <v>45231</v>
      </c>
    </row>
    <row r="2082" spans="1:36">
      <c r="A2082" s="1" t="str">
        <f>"ZE03D891AB"</f>
        <v>ZE03D891AB</v>
      </c>
      <c r="B2082" s="1" t="str">
        <f t="shared" si="42"/>
        <v>02406911202</v>
      </c>
      <c r="C2082" s="1" t="s">
        <v>13</v>
      </c>
      <c r="D2082" s="1" t="s">
        <v>186</v>
      </c>
      <c r="E2082" s="1" t="s">
        <v>2084</v>
      </c>
      <c r="F2082" s="1" t="s">
        <v>158</v>
      </c>
      <c r="G2082" s="1" t="str">
        <f>"80059350159"</f>
        <v>80059350159</v>
      </c>
      <c r="I2082" s="1" t="s">
        <v>925</v>
      </c>
      <c r="L2082" s="1" t="s">
        <v>43</v>
      </c>
      <c r="M2082" s="1">
        <v>4800</v>
      </c>
      <c r="AG2082" s="1">
        <v>0</v>
      </c>
      <c r="AH2082" s="2">
        <v>45260</v>
      </c>
      <c r="AI2082" s="2">
        <v>45626</v>
      </c>
      <c r="AJ2082" s="2">
        <v>45260</v>
      </c>
    </row>
    <row r="2083" spans="1:36">
      <c r="A2083" s="1" t="str">
        <f>"ZE03DAABF2"</f>
        <v>ZE03DAABF2</v>
      </c>
      <c r="B2083" s="1" t="str">
        <f t="shared" si="42"/>
        <v>02406911202</v>
      </c>
      <c r="C2083" s="1" t="s">
        <v>13</v>
      </c>
      <c r="D2083" s="1" t="s">
        <v>180</v>
      </c>
      <c r="E2083" s="1" t="s">
        <v>296</v>
      </c>
      <c r="F2083" s="1" t="s">
        <v>158</v>
      </c>
      <c r="G2083" s="1" t="str">
        <f>"07121831007"</f>
        <v>07121831007</v>
      </c>
      <c r="I2083" s="1" t="s">
        <v>737</v>
      </c>
      <c r="L2083" s="1" t="s">
        <v>43</v>
      </c>
      <c r="M2083" s="1">
        <v>6000</v>
      </c>
      <c r="AG2083" s="1">
        <v>0</v>
      </c>
      <c r="AH2083" s="2">
        <v>45267</v>
      </c>
      <c r="AI2083" s="2">
        <v>45291</v>
      </c>
      <c r="AJ2083" s="2">
        <v>45267</v>
      </c>
    </row>
    <row r="2084" spans="1:36">
      <c r="A2084" s="1" t="str">
        <f>"ZE13D23852"</f>
        <v>ZE13D23852</v>
      </c>
      <c r="B2084" s="1" t="str">
        <f t="shared" si="42"/>
        <v>02406911202</v>
      </c>
      <c r="C2084" s="1" t="s">
        <v>13</v>
      </c>
      <c r="D2084" s="1" t="s">
        <v>186</v>
      </c>
      <c r="E2084" s="1" t="s">
        <v>2085</v>
      </c>
      <c r="F2084" s="1" t="s">
        <v>158</v>
      </c>
      <c r="G2084" s="1" t="str">
        <f>"00803890151"</f>
        <v>00803890151</v>
      </c>
      <c r="I2084" s="1" t="s">
        <v>104</v>
      </c>
      <c r="L2084" s="1" t="s">
        <v>43</v>
      </c>
      <c r="M2084" s="1">
        <v>4999</v>
      </c>
      <c r="AG2084" s="1">
        <v>0</v>
      </c>
      <c r="AH2084" s="2">
        <v>45236</v>
      </c>
      <c r="AI2084" s="2">
        <v>45657</v>
      </c>
      <c r="AJ2084" s="2">
        <v>45236</v>
      </c>
    </row>
    <row r="2085" spans="1:36">
      <c r="A2085" s="1" t="str">
        <f>"ZE13D2BDAA"</f>
        <v>ZE13D2BDAA</v>
      </c>
      <c r="B2085" s="1" t="str">
        <f t="shared" si="42"/>
        <v>02406911202</v>
      </c>
      <c r="C2085" s="1" t="s">
        <v>13</v>
      </c>
      <c r="D2085" s="1" t="s">
        <v>180</v>
      </c>
      <c r="E2085" s="1" t="s">
        <v>220</v>
      </c>
      <c r="F2085" s="1" t="s">
        <v>158</v>
      </c>
      <c r="G2085" s="1" t="str">
        <f>"07123400157"</f>
        <v>07123400157</v>
      </c>
      <c r="I2085" s="1" t="s">
        <v>120</v>
      </c>
      <c r="L2085" s="1" t="s">
        <v>43</v>
      </c>
      <c r="M2085" s="1">
        <v>5000</v>
      </c>
      <c r="AG2085" s="1">
        <v>0</v>
      </c>
      <c r="AH2085" s="2">
        <v>45244</v>
      </c>
      <c r="AI2085" s="2">
        <v>45657</v>
      </c>
      <c r="AJ2085" s="2">
        <v>45244</v>
      </c>
    </row>
    <row r="2086" spans="1:36">
      <c r="A2086" s="1" t="str">
        <f>"ZE13D69222"</f>
        <v>ZE13D69222</v>
      </c>
      <c r="B2086" s="1" t="str">
        <f t="shared" si="42"/>
        <v>02406911202</v>
      </c>
      <c r="C2086" s="1" t="s">
        <v>13</v>
      </c>
      <c r="D2086" s="1" t="s">
        <v>180</v>
      </c>
      <c r="E2086" s="1" t="s">
        <v>281</v>
      </c>
      <c r="F2086" s="1" t="s">
        <v>158</v>
      </c>
      <c r="G2086" s="1" t="str">
        <f>"01535310427"</f>
        <v>01535310427</v>
      </c>
      <c r="I2086" s="1" t="s">
        <v>1373</v>
      </c>
      <c r="L2086" s="1" t="s">
        <v>43</v>
      </c>
      <c r="M2086" s="1">
        <v>6000</v>
      </c>
      <c r="AG2086" s="1">
        <v>0</v>
      </c>
      <c r="AH2086" s="2">
        <v>45253</v>
      </c>
      <c r="AI2086" s="2">
        <v>45657</v>
      </c>
      <c r="AJ2086" s="2">
        <v>45253</v>
      </c>
    </row>
    <row r="2087" spans="1:36">
      <c r="A2087" s="1" t="str">
        <f>"ZE13D87A68"</f>
        <v>ZE13D87A68</v>
      </c>
      <c r="B2087" s="1" t="str">
        <f t="shared" si="42"/>
        <v>02406911202</v>
      </c>
      <c r="C2087" s="1" t="s">
        <v>13</v>
      </c>
      <c r="D2087" s="1" t="s">
        <v>264</v>
      </c>
      <c r="E2087" s="1" t="s">
        <v>2086</v>
      </c>
      <c r="F2087" s="1" t="s">
        <v>158</v>
      </c>
      <c r="G2087" s="1" t="str">
        <f>"05196071004"</f>
        <v>05196071004</v>
      </c>
      <c r="I2087" s="1" t="s">
        <v>724</v>
      </c>
      <c r="L2087" s="1" t="s">
        <v>43</v>
      </c>
      <c r="M2087" s="1">
        <v>4900</v>
      </c>
      <c r="AG2087" s="1">
        <v>0</v>
      </c>
      <c r="AH2087" s="2">
        <v>45260</v>
      </c>
      <c r="AI2087" s="2">
        <v>45260</v>
      </c>
      <c r="AJ2087" s="2">
        <v>45260</v>
      </c>
    </row>
    <row r="2088" spans="1:36">
      <c r="A2088" s="1" t="str">
        <f>"ZE23D14088"</f>
        <v>ZE23D14088</v>
      </c>
      <c r="B2088" s="1" t="str">
        <f t="shared" si="42"/>
        <v>02406911202</v>
      </c>
      <c r="C2088" s="1" t="s">
        <v>13</v>
      </c>
      <c r="D2088" s="1" t="s">
        <v>177</v>
      </c>
      <c r="E2088" s="1" t="s">
        <v>2087</v>
      </c>
      <c r="F2088" s="1" t="s">
        <v>158</v>
      </c>
      <c r="G2088" s="1" t="str">
        <f>"03505721203"</f>
        <v>03505721203</v>
      </c>
      <c r="I2088" s="1" t="s">
        <v>2088</v>
      </c>
      <c r="L2088" s="1" t="s">
        <v>43</v>
      </c>
      <c r="M2088" s="1">
        <v>245.9</v>
      </c>
      <c r="AG2088" s="1">
        <v>0</v>
      </c>
      <c r="AH2088" s="2">
        <v>45230</v>
      </c>
      <c r="AI2088" s="2">
        <v>45291</v>
      </c>
      <c r="AJ2088" s="2">
        <v>45230</v>
      </c>
    </row>
    <row r="2089" spans="1:36">
      <c r="A2089" s="1" t="str">
        <f>"ZE23DBCFAF"</f>
        <v>ZE23DBCFAF</v>
      </c>
      <c r="B2089" s="1" t="str">
        <f t="shared" si="42"/>
        <v>02406911202</v>
      </c>
      <c r="C2089" s="1" t="s">
        <v>13</v>
      </c>
      <c r="D2089" s="1" t="s">
        <v>180</v>
      </c>
      <c r="E2089" s="1" t="s">
        <v>281</v>
      </c>
      <c r="F2089" s="1" t="s">
        <v>158</v>
      </c>
      <c r="G2089" s="1" t="str">
        <f>"15685941005"</f>
        <v>15685941005</v>
      </c>
      <c r="I2089" s="1" t="s">
        <v>1495</v>
      </c>
      <c r="L2089" s="1" t="s">
        <v>43</v>
      </c>
      <c r="M2089" s="1">
        <v>6000</v>
      </c>
      <c r="AG2089" s="1">
        <v>0</v>
      </c>
      <c r="AH2089" s="2">
        <v>45289</v>
      </c>
      <c r="AI2089" s="2">
        <v>45322</v>
      </c>
      <c r="AJ2089" s="2">
        <v>45289</v>
      </c>
    </row>
    <row r="2090" spans="1:36">
      <c r="A2090" s="1" t="str">
        <f>"ZE33CC2BB8"</f>
        <v>ZE33CC2BB8</v>
      </c>
      <c r="B2090" s="1" t="str">
        <f t="shared" si="42"/>
        <v>02406911202</v>
      </c>
      <c r="C2090" s="1" t="s">
        <v>13</v>
      </c>
      <c r="D2090" s="1" t="s">
        <v>186</v>
      </c>
      <c r="E2090" s="1" t="s">
        <v>2089</v>
      </c>
      <c r="F2090" s="1" t="s">
        <v>158</v>
      </c>
      <c r="G2090" s="1" t="str">
        <f>"02705540165"</f>
        <v>02705540165</v>
      </c>
      <c r="I2090" s="1" t="s">
        <v>1760</v>
      </c>
      <c r="L2090" s="1" t="s">
        <v>43</v>
      </c>
      <c r="M2090" s="1">
        <v>4999</v>
      </c>
      <c r="AG2090" s="1">
        <v>764.5</v>
      </c>
      <c r="AH2090" s="2">
        <v>45208</v>
      </c>
      <c r="AI2090" s="2">
        <v>46022</v>
      </c>
      <c r="AJ2090" s="2">
        <v>45208</v>
      </c>
    </row>
    <row r="2091" spans="1:36">
      <c r="A2091" s="1" t="str">
        <f>"ZE33D2C511"</f>
        <v>ZE33D2C511</v>
      </c>
      <c r="B2091" s="1" t="str">
        <f t="shared" si="42"/>
        <v>02406911202</v>
      </c>
      <c r="C2091" s="1" t="s">
        <v>13</v>
      </c>
      <c r="D2091" s="1" t="s">
        <v>180</v>
      </c>
      <c r="E2091" s="1" t="s">
        <v>296</v>
      </c>
      <c r="F2091" s="1" t="s">
        <v>158</v>
      </c>
      <c r="G2091" s="1" t="str">
        <f>"09238800156"</f>
        <v>09238800156</v>
      </c>
      <c r="I2091" s="1" t="s">
        <v>92</v>
      </c>
      <c r="L2091" s="1" t="s">
        <v>43</v>
      </c>
      <c r="M2091" s="1">
        <v>6000</v>
      </c>
      <c r="AG2091" s="1">
        <v>0</v>
      </c>
      <c r="AH2091" s="2">
        <v>45239</v>
      </c>
      <c r="AI2091" s="2">
        <v>45291</v>
      </c>
      <c r="AJ2091" s="2">
        <v>45239</v>
      </c>
    </row>
    <row r="2092" spans="1:36">
      <c r="A2092" s="1" t="str">
        <f>"ZE43D2568B"</f>
        <v>ZE43D2568B</v>
      </c>
      <c r="B2092" s="1" t="str">
        <f t="shared" si="42"/>
        <v>02406911202</v>
      </c>
      <c r="C2092" s="1" t="s">
        <v>13</v>
      </c>
      <c r="D2092" s="1" t="s">
        <v>180</v>
      </c>
      <c r="E2092" s="1" t="s">
        <v>296</v>
      </c>
      <c r="F2092" s="1" t="s">
        <v>158</v>
      </c>
      <c r="G2092" s="1" t="str">
        <f>"07077990013"</f>
        <v>07077990013</v>
      </c>
      <c r="I2092" s="1" t="s">
        <v>554</v>
      </c>
      <c r="L2092" s="1" t="s">
        <v>43</v>
      </c>
      <c r="M2092" s="1">
        <v>5000</v>
      </c>
      <c r="AG2092" s="1">
        <v>0</v>
      </c>
      <c r="AH2092" s="2">
        <v>45237</v>
      </c>
      <c r="AI2092" s="2">
        <v>45291</v>
      </c>
      <c r="AJ2092" s="2">
        <v>45237</v>
      </c>
    </row>
    <row r="2093" spans="1:36">
      <c r="A2093" s="1" t="str">
        <f>"ZE43D7B529"</f>
        <v>ZE43D7B529</v>
      </c>
      <c r="B2093" s="1" t="str">
        <f t="shared" si="42"/>
        <v>02406911202</v>
      </c>
      <c r="C2093" s="1" t="s">
        <v>13</v>
      </c>
      <c r="D2093" s="1" t="s">
        <v>186</v>
      </c>
      <c r="E2093" s="1" t="s">
        <v>1981</v>
      </c>
      <c r="F2093" s="1" t="s">
        <v>158</v>
      </c>
      <c r="G2093" s="1" t="str">
        <f>"10782860158"</f>
        <v>10782860158</v>
      </c>
      <c r="I2093" s="1" t="s">
        <v>2090</v>
      </c>
      <c r="L2093" s="1" t="s">
        <v>43</v>
      </c>
      <c r="M2093" s="1">
        <v>4999</v>
      </c>
      <c r="AG2093" s="1">
        <v>0</v>
      </c>
      <c r="AH2093" s="2">
        <v>45258</v>
      </c>
      <c r="AI2093" s="2">
        <v>46022</v>
      </c>
      <c r="AJ2093" s="2">
        <v>45258</v>
      </c>
    </row>
    <row r="2094" spans="1:36">
      <c r="A2094" s="1" t="str">
        <f>"ZE43DB13F9"</f>
        <v>ZE43DB13F9</v>
      </c>
      <c r="B2094" s="1" t="str">
        <f t="shared" si="42"/>
        <v>02406911202</v>
      </c>
      <c r="C2094" s="1" t="s">
        <v>13</v>
      </c>
      <c r="D2094" s="1" t="s">
        <v>180</v>
      </c>
      <c r="E2094" s="1" t="s">
        <v>220</v>
      </c>
      <c r="F2094" s="1" t="s">
        <v>158</v>
      </c>
      <c r="G2094" s="1" t="str">
        <f>"11160660152"</f>
        <v>11160660152</v>
      </c>
      <c r="I2094" s="1" t="s">
        <v>457</v>
      </c>
      <c r="L2094" s="1" t="s">
        <v>43</v>
      </c>
      <c r="M2094" s="1">
        <v>6000</v>
      </c>
      <c r="AG2094" s="1">
        <v>0</v>
      </c>
      <c r="AH2094" s="2">
        <v>45271</v>
      </c>
      <c r="AI2094" s="2">
        <v>45657</v>
      </c>
      <c r="AJ2094" s="2">
        <v>45271</v>
      </c>
    </row>
    <row r="2095" spans="1:36">
      <c r="A2095" s="1" t="str">
        <f>"ZE53CB18BF"</f>
        <v>ZE53CB18BF</v>
      </c>
      <c r="B2095" s="1" t="str">
        <f t="shared" si="42"/>
        <v>02406911202</v>
      </c>
      <c r="C2095" s="1" t="s">
        <v>13</v>
      </c>
      <c r="D2095" s="1" t="s">
        <v>167</v>
      </c>
      <c r="E2095" s="1" t="s">
        <v>2091</v>
      </c>
      <c r="F2095" s="1" t="s">
        <v>151</v>
      </c>
      <c r="H2095" s="1" t="str">
        <f>"152434145"</f>
        <v>152434145</v>
      </c>
      <c r="I2095" s="1" t="s">
        <v>514</v>
      </c>
      <c r="L2095" s="1" t="s">
        <v>43</v>
      </c>
      <c r="M2095" s="1">
        <v>10680</v>
      </c>
      <c r="AG2095" s="1">
        <v>0</v>
      </c>
      <c r="AH2095" s="2">
        <v>45215</v>
      </c>
      <c r="AI2095" s="2">
        <v>45945</v>
      </c>
      <c r="AJ2095" s="2">
        <v>45215</v>
      </c>
    </row>
    <row r="2096" spans="1:36">
      <c r="A2096" s="1" t="str">
        <f>"ZE63CB8FA7"</f>
        <v>ZE63CB8FA7</v>
      </c>
      <c r="B2096" s="1" t="str">
        <f t="shared" si="42"/>
        <v>02406911202</v>
      </c>
      <c r="C2096" s="1" t="s">
        <v>13</v>
      </c>
      <c r="D2096" s="1" t="s">
        <v>180</v>
      </c>
      <c r="E2096" s="1" t="s">
        <v>2092</v>
      </c>
      <c r="F2096" s="1" t="s">
        <v>158</v>
      </c>
      <c r="G2096" s="1" t="str">
        <f>"06614040159"</f>
        <v>06614040159</v>
      </c>
      <c r="I2096" s="1" t="s">
        <v>2093</v>
      </c>
      <c r="L2096" s="1" t="s">
        <v>43</v>
      </c>
      <c r="M2096" s="1">
        <v>39999.99</v>
      </c>
      <c r="AG2096" s="1">
        <v>0</v>
      </c>
      <c r="AH2096" s="2">
        <v>45204</v>
      </c>
      <c r="AI2096" s="2">
        <v>45291</v>
      </c>
      <c r="AJ2096" s="2">
        <v>45204</v>
      </c>
    </row>
    <row r="2097" spans="1:36">
      <c r="A2097" s="1" t="str">
        <f>"ZE63D1F11D"</f>
        <v>ZE63D1F11D</v>
      </c>
      <c r="B2097" s="1" t="str">
        <f t="shared" si="42"/>
        <v>02406911202</v>
      </c>
      <c r="C2097" s="1" t="s">
        <v>13</v>
      </c>
      <c r="D2097" s="1" t="s">
        <v>180</v>
      </c>
      <c r="E2097" s="1" t="s">
        <v>244</v>
      </c>
      <c r="F2097" s="1" t="s">
        <v>158</v>
      </c>
      <c r="G2097" s="1" t="str">
        <f>"10556980158"</f>
        <v>10556980158</v>
      </c>
      <c r="I2097" s="1" t="s">
        <v>2094</v>
      </c>
      <c r="L2097" s="1" t="s">
        <v>43</v>
      </c>
      <c r="M2097" s="1">
        <v>5000</v>
      </c>
      <c r="AG2097" s="1">
        <v>0</v>
      </c>
      <c r="AH2097" s="2">
        <v>45236</v>
      </c>
      <c r="AI2097" s="2">
        <v>45657</v>
      </c>
      <c r="AJ2097" s="2">
        <v>45236</v>
      </c>
    </row>
    <row r="2098" spans="1:36">
      <c r="A2098" s="1" t="str">
        <f>"ZE63D9A6CC"</f>
        <v>ZE63D9A6CC</v>
      </c>
      <c r="B2098" s="1" t="str">
        <f t="shared" si="42"/>
        <v>02406911202</v>
      </c>
      <c r="C2098" s="1" t="s">
        <v>13</v>
      </c>
      <c r="D2098" s="1" t="s">
        <v>186</v>
      </c>
      <c r="E2098" s="1" t="s">
        <v>353</v>
      </c>
      <c r="F2098" s="1" t="s">
        <v>158</v>
      </c>
      <c r="G2098" s="1" t="str">
        <f>"02298321205"</f>
        <v>02298321205</v>
      </c>
      <c r="I2098" s="1" t="s">
        <v>2095</v>
      </c>
      <c r="L2098" s="1" t="s">
        <v>43</v>
      </c>
      <c r="M2098" s="1">
        <v>352</v>
      </c>
      <c r="AG2098" s="1">
        <v>0</v>
      </c>
      <c r="AH2098" s="2">
        <v>45226</v>
      </c>
      <c r="AI2098" s="2">
        <v>45230</v>
      </c>
      <c r="AJ2098" s="2">
        <v>45226</v>
      </c>
    </row>
    <row r="2099" spans="1:36">
      <c r="A2099" s="1" t="str">
        <f>"ZE73D4C207"</f>
        <v>ZE73D4C207</v>
      </c>
      <c r="B2099" s="1" t="str">
        <f t="shared" si="42"/>
        <v>02406911202</v>
      </c>
      <c r="C2099" s="1" t="s">
        <v>13</v>
      </c>
      <c r="D2099" s="1" t="s">
        <v>186</v>
      </c>
      <c r="E2099" s="1" t="s">
        <v>2096</v>
      </c>
      <c r="F2099" s="1" t="s">
        <v>158</v>
      </c>
      <c r="G2099" s="1" t="str">
        <f>"01850990464"</f>
        <v>01850990464</v>
      </c>
      <c r="I2099" s="1" t="s">
        <v>2097</v>
      </c>
      <c r="L2099" s="1" t="s">
        <v>43</v>
      </c>
      <c r="M2099" s="1">
        <v>4999</v>
      </c>
      <c r="AG2099" s="1">
        <v>0</v>
      </c>
      <c r="AH2099" s="2">
        <v>45245</v>
      </c>
      <c r="AI2099" s="2">
        <v>45322</v>
      </c>
      <c r="AJ2099" s="2">
        <v>45245</v>
      </c>
    </row>
    <row r="2100" spans="1:36">
      <c r="A2100" s="1" t="str">
        <f>"ZE73D6F0E5"</f>
        <v>ZE73D6F0E5</v>
      </c>
      <c r="B2100" s="1" t="str">
        <f t="shared" si="42"/>
        <v>02406911202</v>
      </c>
      <c r="C2100" s="1" t="s">
        <v>13</v>
      </c>
      <c r="D2100" s="1" t="s">
        <v>180</v>
      </c>
      <c r="E2100" s="1" t="s">
        <v>296</v>
      </c>
      <c r="F2100" s="1" t="s">
        <v>158</v>
      </c>
      <c r="G2100" s="1" t="str">
        <f>"03318780966"</f>
        <v>03318780966</v>
      </c>
      <c r="I2100" s="1" t="s">
        <v>412</v>
      </c>
      <c r="L2100" s="1" t="s">
        <v>43</v>
      </c>
      <c r="M2100" s="1">
        <v>5000</v>
      </c>
      <c r="AG2100" s="1">
        <v>0</v>
      </c>
      <c r="AH2100" s="2">
        <v>45254</v>
      </c>
      <c r="AI2100" s="2">
        <v>45291</v>
      </c>
      <c r="AJ2100" s="2">
        <v>45254</v>
      </c>
    </row>
    <row r="2101" spans="1:36">
      <c r="A2101" s="1" t="str">
        <f>"ZE83D0B7E7"</f>
        <v>ZE83D0B7E7</v>
      </c>
      <c r="B2101" s="1" t="str">
        <f t="shared" si="42"/>
        <v>02406911202</v>
      </c>
      <c r="C2101" s="1" t="s">
        <v>13</v>
      </c>
      <c r="D2101" s="1" t="s">
        <v>264</v>
      </c>
      <c r="E2101" s="1" t="s">
        <v>2098</v>
      </c>
      <c r="F2101" s="1" t="s">
        <v>158</v>
      </c>
      <c r="G2101" s="1" t="str">
        <f>"10767630154"</f>
        <v>10767630154</v>
      </c>
      <c r="I2101" s="1" t="s">
        <v>2005</v>
      </c>
      <c r="L2101" s="1" t="s">
        <v>43</v>
      </c>
      <c r="M2101" s="1">
        <v>6324</v>
      </c>
      <c r="AG2101" s="1">
        <v>0</v>
      </c>
      <c r="AH2101" s="2">
        <v>45226</v>
      </c>
      <c r="AI2101" s="2">
        <v>45250</v>
      </c>
      <c r="AJ2101" s="2">
        <v>45226</v>
      </c>
    </row>
    <row r="2102" spans="1:36">
      <c r="A2102" s="1" t="str">
        <f>"ZE83DA4727"</f>
        <v>ZE83DA4727</v>
      </c>
      <c r="B2102" s="1" t="str">
        <f t="shared" si="42"/>
        <v>02406911202</v>
      </c>
      <c r="C2102" s="1" t="s">
        <v>13</v>
      </c>
      <c r="D2102" s="1" t="s">
        <v>180</v>
      </c>
      <c r="E2102" s="1" t="s">
        <v>281</v>
      </c>
      <c r="F2102" s="1" t="s">
        <v>158</v>
      </c>
      <c r="G2102" s="1" t="str">
        <f>"09270550016"</f>
        <v>09270550016</v>
      </c>
      <c r="I2102" s="1" t="s">
        <v>406</v>
      </c>
      <c r="L2102" s="1" t="s">
        <v>43</v>
      </c>
      <c r="M2102" s="1">
        <v>6000</v>
      </c>
      <c r="AG2102" s="1">
        <v>0</v>
      </c>
      <c r="AH2102" s="2">
        <v>45266</v>
      </c>
      <c r="AI2102" s="2">
        <v>45657</v>
      </c>
      <c r="AJ2102" s="2">
        <v>45266</v>
      </c>
    </row>
    <row r="2103" spans="1:36">
      <c r="A2103" s="1" t="str">
        <f>"ZE83DBD14D"</f>
        <v>ZE83DBD14D</v>
      </c>
      <c r="B2103" s="1" t="str">
        <f t="shared" si="42"/>
        <v>02406911202</v>
      </c>
      <c r="C2103" s="1" t="s">
        <v>13</v>
      </c>
      <c r="D2103" s="1" t="s">
        <v>180</v>
      </c>
      <c r="E2103" s="1" t="s">
        <v>281</v>
      </c>
      <c r="F2103" s="1" t="s">
        <v>158</v>
      </c>
      <c r="G2103" s="1" t="str">
        <f>"08082461008"</f>
        <v>08082461008</v>
      </c>
      <c r="I2103" s="1" t="s">
        <v>88</v>
      </c>
      <c r="L2103" s="1" t="s">
        <v>43</v>
      </c>
      <c r="M2103" s="1">
        <v>6000</v>
      </c>
      <c r="AG2103" s="1">
        <v>0</v>
      </c>
      <c r="AH2103" s="2">
        <v>45279</v>
      </c>
      <c r="AI2103" s="2">
        <v>45291</v>
      </c>
      <c r="AJ2103" s="2">
        <v>45279</v>
      </c>
    </row>
    <row r="2104" spans="1:36">
      <c r="A2104" s="1" t="str">
        <f>"ZE93CBB3C2"</f>
        <v>ZE93CBB3C2</v>
      </c>
      <c r="B2104" s="1" t="str">
        <f t="shared" si="42"/>
        <v>02406911202</v>
      </c>
      <c r="C2104" s="1" t="s">
        <v>13</v>
      </c>
      <c r="D2104" s="1" t="s">
        <v>180</v>
      </c>
      <c r="E2104" s="1" t="s">
        <v>281</v>
      </c>
      <c r="F2104" s="1" t="s">
        <v>158</v>
      </c>
      <c r="G2104" s="1" t="str">
        <f>"04289840268"</f>
        <v>04289840268</v>
      </c>
      <c r="I2104" s="1" t="s">
        <v>302</v>
      </c>
      <c r="L2104" s="1" t="s">
        <v>43</v>
      </c>
      <c r="M2104" s="1">
        <v>6000</v>
      </c>
      <c r="AG2104" s="1">
        <v>5900</v>
      </c>
      <c r="AH2104" s="2">
        <v>45204</v>
      </c>
      <c r="AI2104" s="2">
        <v>45291</v>
      </c>
      <c r="AJ2104" s="2">
        <v>45204</v>
      </c>
    </row>
    <row r="2105" spans="1:36">
      <c r="A2105" s="1" t="str">
        <f>"ZE93D75862"</f>
        <v>ZE93D75862</v>
      </c>
      <c r="B2105" s="1" t="str">
        <f t="shared" si="42"/>
        <v>02406911202</v>
      </c>
      <c r="C2105" s="1" t="s">
        <v>13</v>
      </c>
      <c r="D2105" s="1" t="s">
        <v>180</v>
      </c>
      <c r="E2105" s="1" t="s">
        <v>296</v>
      </c>
      <c r="F2105" s="1" t="s">
        <v>158</v>
      </c>
      <c r="G2105" s="1" t="str">
        <f>"04709610150"</f>
        <v>04709610150</v>
      </c>
      <c r="I2105" s="1" t="s">
        <v>2099</v>
      </c>
      <c r="L2105" s="1" t="s">
        <v>43</v>
      </c>
      <c r="M2105" s="1">
        <v>5000</v>
      </c>
      <c r="AG2105" s="1">
        <v>0</v>
      </c>
      <c r="AH2105" s="2">
        <v>45257</v>
      </c>
      <c r="AI2105" s="2">
        <v>45291</v>
      </c>
      <c r="AJ2105" s="2">
        <v>45257</v>
      </c>
    </row>
    <row r="2106" spans="1:36">
      <c r="A2106" s="1" t="str">
        <f>"ZEA3C93BA0"</f>
        <v>ZEA3C93BA0</v>
      </c>
      <c r="B2106" s="1" t="str">
        <f t="shared" si="42"/>
        <v>02406911202</v>
      </c>
      <c r="C2106" s="1" t="s">
        <v>13</v>
      </c>
      <c r="D2106" s="1" t="s">
        <v>180</v>
      </c>
      <c r="E2106" s="1" t="s">
        <v>296</v>
      </c>
      <c r="F2106" s="1" t="s">
        <v>158</v>
      </c>
      <c r="G2106" s="1" t="str">
        <f>"07620470018"</f>
        <v>07620470018</v>
      </c>
      <c r="I2106" s="1" t="s">
        <v>1520</v>
      </c>
      <c r="L2106" s="1" t="s">
        <v>43</v>
      </c>
      <c r="M2106" s="1">
        <v>6000</v>
      </c>
      <c r="AG2106" s="1">
        <v>5625</v>
      </c>
      <c r="AH2106" s="2">
        <v>45194</v>
      </c>
      <c r="AI2106" s="2">
        <v>45291</v>
      </c>
      <c r="AJ2106" s="2">
        <v>45194</v>
      </c>
    </row>
    <row r="2107" spans="1:36">
      <c r="A2107" s="1" t="str">
        <f>"ZEA3CC0568"</f>
        <v>ZEA3CC0568</v>
      </c>
      <c r="B2107" s="1" t="str">
        <f t="shared" si="42"/>
        <v>02406911202</v>
      </c>
      <c r="C2107" s="1" t="s">
        <v>13</v>
      </c>
      <c r="D2107" s="1" t="s">
        <v>180</v>
      </c>
      <c r="E2107" s="1" t="s">
        <v>181</v>
      </c>
      <c r="F2107" s="1" t="s">
        <v>158</v>
      </c>
      <c r="G2107" s="1" t="str">
        <f>"06647900965"</f>
        <v>06647900965</v>
      </c>
      <c r="I2107" s="1" t="s">
        <v>2100</v>
      </c>
      <c r="L2107" s="1" t="s">
        <v>43</v>
      </c>
      <c r="M2107" s="1">
        <v>5000</v>
      </c>
      <c r="AG2107" s="1">
        <v>448.05</v>
      </c>
      <c r="AH2107" s="2">
        <v>45205</v>
      </c>
      <c r="AI2107" s="2">
        <v>45657</v>
      </c>
      <c r="AJ2107" s="2">
        <v>45205</v>
      </c>
    </row>
    <row r="2108" spans="1:36">
      <c r="A2108" s="1" t="str">
        <f>"ZEA3D6F0B9"</f>
        <v>ZEA3D6F0B9</v>
      </c>
      <c r="B2108" s="1" t="str">
        <f t="shared" si="42"/>
        <v>02406911202</v>
      </c>
      <c r="C2108" s="1" t="s">
        <v>13</v>
      </c>
      <c r="D2108" s="1" t="s">
        <v>180</v>
      </c>
      <c r="E2108" s="1" t="s">
        <v>296</v>
      </c>
      <c r="F2108" s="1" t="s">
        <v>158</v>
      </c>
      <c r="G2108" s="1" t="str">
        <f>"00803890151"</f>
        <v>00803890151</v>
      </c>
      <c r="I2108" s="1" t="s">
        <v>104</v>
      </c>
      <c r="L2108" s="1" t="s">
        <v>43</v>
      </c>
      <c r="M2108" s="1">
        <v>5000</v>
      </c>
      <c r="AG2108" s="1">
        <v>0</v>
      </c>
      <c r="AH2108" s="2">
        <v>45254</v>
      </c>
      <c r="AI2108" s="2">
        <v>45291</v>
      </c>
      <c r="AJ2108" s="2">
        <v>45254</v>
      </c>
    </row>
    <row r="2109" spans="1:36">
      <c r="A2109" s="1" t="str">
        <f>"ZEA3D945D4"</f>
        <v>ZEA3D945D4</v>
      </c>
      <c r="B2109" s="1" t="str">
        <f t="shared" si="42"/>
        <v>02406911202</v>
      </c>
      <c r="C2109" s="1" t="s">
        <v>13</v>
      </c>
      <c r="D2109" s="1" t="s">
        <v>180</v>
      </c>
      <c r="E2109" s="1" t="s">
        <v>220</v>
      </c>
      <c r="F2109" s="1" t="s">
        <v>158</v>
      </c>
      <c r="G2109" s="1" t="str">
        <f>"11160660152"</f>
        <v>11160660152</v>
      </c>
      <c r="I2109" s="1" t="s">
        <v>457</v>
      </c>
      <c r="L2109" s="1" t="s">
        <v>43</v>
      </c>
      <c r="M2109" s="1">
        <v>6000</v>
      </c>
      <c r="AG2109" s="1">
        <v>0</v>
      </c>
      <c r="AH2109" s="2">
        <v>45264</v>
      </c>
      <c r="AI2109" s="2">
        <v>45657</v>
      </c>
      <c r="AJ2109" s="2">
        <v>45264</v>
      </c>
    </row>
    <row r="2110" spans="1:36">
      <c r="A2110" s="1" t="str">
        <f>"ZEB3CB1A5D"</f>
        <v>ZEB3CB1A5D</v>
      </c>
      <c r="B2110" s="1" t="str">
        <f t="shared" si="42"/>
        <v>02406911202</v>
      </c>
      <c r="C2110" s="1" t="s">
        <v>13</v>
      </c>
      <c r="D2110" s="1" t="s">
        <v>167</v>
      </c>
      <c r="E2110" s="1" t="s">
        <v>2101</v>
      </c>
      <c r="F2110" s="1" t="s">
        <v>151</v>
      </c>
      <c r="G2110" s="1" t="str">
        <f>"02457060032"</f>
        <v>02457060032</v>
      </c>
      <c r="I2110" s="1" t="s">
        <v>320</v>
      </c>
      <c r="L2110" s="1" t="s">
        <v>43</v>
      </c>
      <c r="M2110" s="1">
        <v>29000</v>
      </c>
      <c r="AG2110" s="1">
        <v>8700</v>
      </c>
      <c r="AH2110" s="2">
        <v>45215</v>
      </c>
      <c r="AI2110" s="2">
        <v>45945</v>
      </c>
      <c r="AJ2110" s="2">
        <v>45215</v>
      </c>
    </row>
    <row r="2111" spans="1:36">
      <c r="A2111" s="1" t="str">
        <f>"ZEB3CEB8E8"</f>
        <v>ZEB3CEB8E8</v>
      </c>
      <c r="B2111" s="1" t="str">
        <f t="shared" si="42"/>
        <v>02406911202</v>
      </c>
      <c r="C2111" s="1" t="s">
        <v>13</v>
      </c>
      <c r="D2111" s="1" t="s">
        <v>180</v>
      </c>
      <c r="E2111" s="1" t="s">
        <v>2102</v>
      </c>
      <c r="F2111" s="1" t="s">
        <v>158</v>
      </c>
      <c r="G2111" s="1" t="str">
        <f>"03680250283"</f>
        <v>03680250283</v>
      </c>
      <c r="I2111" s="1" t="s">
        <v>1319</v>
      </c>
      <c r="L2111" s="1" t="s">
        <v>43</v>
      </c>
      <c r="M2111" s="1">
        <v>39999</v>
      </c>
      <c r="AG2111" s="1">
        <v>0</v>
      </c>
      <c r="AH2111" s="2">
        <v>45218</v>
      </c>
      <c r="AI2111" s="2">
        <v>45291</v>
      </c>
      <c r="AJ2111" s="2">
        <v>45218</v>
      </c>
    </row>
    <row r="2112" spans="1:36">
      <c r="A2112" s="1" t="str">
        <f>"ZEB3D767A1"</f>
        <v>ZEB3D767A1</v>
      </c>
      <c r="B2112" s="1" t="str">
        <f t="shared" si="42"/>
        <v>02406911202</v>
      </c>
      <c r="C2112" s="1" t="s">
        <v>13</v>
      </c>
      <c r="D2112" s="1" t="s">
        <v>264</v>
      </c>
      <c r="E2112" s="1" t="s">
        <v>2103</v>
      </c>
      <c r="F2112" s="1" t="s">
        <v>158</v>
      </c>
      <c r="G2112" s="1" t="str">
        <f>"00926020066"</f>
        <v>00926020066</v>
      </c>
      <c r="I2112" s="1" t="s">
        <v>772</v>
      </c>
      <c r="L2112" s="1" t="s">
        <v>43</v>
      </c>
      <c r="M2112" s="1">
        <v>500</v>
      </c>
      <c r="AG2112" s="1">
        <v>0</v>
      </c>
      <c r="AH2112" s="2">
        <v>45257</v>
      </c>
      <c r="AI2112" s="2">
        <v>45291</v>
      </c>
      <c r="AJ2112" s="2">
        <v>45257</v>
      </c>
    </row>
    <row r="2113" spans="1:36">
      <c r="A2113" s="1" t="str">
        <f>"ZEC3CB8195"</f>
        <v>ZEC3CB8195</v>
      </c>
      <c r="B2113" s="1" t="str">
        <f t="shared" si="42"/>
        <v>02406911202</v>
      </c>
      <c r="C2113" s="1" t="s">
        <v>13</v>
      </c>
      <c r="D2113" s="1" t="s">
        <v>180</v>
      </c>
      <c r="E2113" s="1" t="s">
        <v>281</v>
      </c>
      <c r="F2113" s="1" t="s">
        <v>158</v>
      </c>
      <c r="G2113" s="1" t="str">
        <f>"04289840268"</f>
        <v>04289840268</v>
      </c>
      <c r="I2113" s="1" t="s">
        <v>302</v>
      </c>
      <c r="L2113" s="1" t="s">
        <v>43</v>
      </c>
      <c r="M2113" s="1">
        <v>6000</v>
      </c>
      <c r="AG2113" s="1">
        <v>6375.8</v>
      </c>
      <c r="AH2113" s="2">
        <v>45204</v>
      </c>
      <c r="AI2113" s="2">
        <v>45291</v>
      </c>
      <c r="AJ2113" s="2">
        <v>45204</v>
      </c>
    </row>
    <row r="2114" spans="1:36">
      <c r="A2114" s="1" t="str">
        <f>"ZEC3D093B9"</f>
        <v>ZEC3D093B9</v>
      </c>
      <c r="B2114" s="1" t="str">
        <f t="shared" ref="B2114:B2173" si="43">"02406911202"</f>
        <v>02406911202</v>
      </c>
      <c r="C2114" s="1" t="s">
        <v>13</v>
      </c>
      <c r="D2114" s="1" t="s">
        <v>180</v>
      </c>
      <c r="E2114" s="1" t="s">
        <v>279</v>
      </c>
      <c r="F2114" s="1" t="s">
        <v>158</v>
      </c>
      <c r="G2114" s="1" t="str">
        <f>"00742090152"</f>
        <v>00742090152</v>
      </c>
      <c r="I2114" s="1" t="s">
        <v>851</v>
      </c>
      <c r="L2114" s="1" t="s">
        <v>43</v>
      </c>
      <c r="M2114" s="1">
        <v>5000</v>
      </c>
      <c r="AG2114" s="1">
        <v>0</v>
      </c>
      <c r="AH2114" s="2">
        <v>45226</v>
      </c>
      <c r="AI2114" s="2">
        <v>45291</v>
      </c>
      <c r="AJ2114" s="2">
        <v>45226</v>
      </c>
    </row>
    <row r="2115" spans="1:36">
      <c r="A2115" s="1" t="str">
        <f>"ZEC3D934B8"</f>
        <v>ZEC3D934B8</v>
      </c>
      <c r="B2115" s="1" t="str">
        <f t="shared" si="43"/>
        <v>02406911202</v>
      </c>
      <c r="C2115" s="1" t="s">
        <v>13</v>
      </c>
      <c r="D2115" s="1" t="s">
        <v>167</v>
      </c>
      <c r="E2115" s="1" t="s">
        <v>2104</v>
      </c>
      <c r="F2115" s="1" t="s">
        <v>151</v>
      </c>
      <c r="G2115" s="1" t="str">
        <f>"04479460158"</f>
        <v>04479460158</v>
      </c>
      <c r="I2115" s="1" t="s">
        <v>2105</v>
      </c>
      <c r="L2115" s="1" t="s">
        <v>43</v>
      </c>
      <c r="M2115" s="1">
        <v>18326.310000000001</v>
      </c>
      <c r="AG2115" s="1">
        <v>0</v>
      </c>
      <c r="AH2115" s="2">
        <v>45264</v>
      </c>
      <c r="AI2115" s="2">
        <v>45626</v>
      </c>
      <c r="AJ2115" s="2">
        <v>45264</v>
      </c>
    </row>
    <row r="2116" spans="1:36">
      <c r="A2116" s="1" t="str">
        <f>"ZED3CA59C0"</f>
        <v>ZED3CA59C0</v>
      </c>
      <c r="B2116" s="1" t="str">
        <f t="shared" si="43"/>
        <v>02406911202</v>
      </c>
      <c r="C2116" s="1" t="s">
        <v>13</v>
      </c>
      <c r="D2116" s="1" t="s">
        <v>180</v>
      </c>
      <c r="E2116" s="1" t="s">
        <v>181</v>
      </c>
      <c r="F2116" s="1" t="s">
        <v>158</v>
      </c>
      <c r="G2116" s="1" t="str">
        <f>"05763890638"</f>
        <v>05763890638</v>
      </c>
      <c r="I2116" s="1" t="s">
        <v>1013</v>
      </c>
      <c r="L2116" s="1" t="s">
        <v>43</v>
      </c>
      <c r="M2116" s="1">
        <v>5000</v>
      </c>
      <c r="AG2116" s="1">
        <v>995.96</v>
      </c>
      <c r="AH2116" s="2">
        <v>45198</v>
      </c>
      <c r="AI2116" s="2">
        <v>45291</v>
      </c>
      <c r="AJ2116" s="2">
        <v>45198</v>
      </c>
    </row>
    <row r="2117" spans="1:36">
      <c r="A2117" s="1" t="str">
        <f>"ZED3CB1AE7"</f>
        <v>ZED3CB1AE7</v>
      </c>
      <c r="B2117" s="1" t="str">
        <f t="shared" si="43"/>
        <v>02406911202</v>
      </c>
      <c r="C2117" s="1" t="s">
        <v>13</v>
      </c>
      <c r="D2117" s="1" t="s">
        <v>167</v>
      </c>
      <c r="E2117" s="1" t="s">
        <v>2106</v>
      </c>
      <c r="F2117" s="1" t="s">
        <v>151</v>
      </c>
      <c r="G2117" s="1" t="str">
        <f>"02457060032"</f>
        <v>02457060032</v>
      </c>
      <c r="I2117" s="1" t="s">
        <v>320</v>
      </c>
      <c r="L2117" s="1" t="s">
        <v>43</v>
      </c>
      <c r="M2117" s="1">
        <v>10480</v>
      </c>
      <c r="AG2117" s="1">
        <v>0</v>
      </c>
      <c r="AH2117" s="2">
        <v>45215</v>
      </c>
      <c r="AI2117" s="2">
        <v>45945</v>
      </c>
      <c r="AJ2117" s="2">
        <v>45215</v>
      </c>
    </row>
    <row r="2118" spans="1:36">
      <c r="A2118" s="1" t="str">
        <f>"ZED3D486DB"</f>
        <v>ZED3D486DB</v>
      </c>
      <c r="B2118" s="1" t="str">
        <f t="shared" si="43"/>
        <v>02406911202</v>
      </c>
      <c r="C2118" s="1" t="s">
        <v>13</v>
      </c>
      <c r="D2118" s="1" t="s">
        <v>180</v>
      </c>
      <c r="E2118" s="1" t="s">
        <v>181</v>
      </c>
      <c r="F2118" s="1" t="s">
        <v>158</v>
      </c>
      <c r="G2118" s="1" t="str">
        <f>"00803890151"</f>
        <v>00803890151</v>
      </c>
      <c r="I2118" s="1" t="s">
        <v>104</v>
      </c>
      <c r="L2118" s="1" t="s">
        <v>43</v>
      </c>
      <c r="M2118" s="1">
        <v>6000</v>
      </c>
      <c r="AG2118" s="1">
        <v>0</v>
      </c>
      <c r="AH2118" s="2">
        <v>45244</v>
      </c>
      <c r="AI2118" s="2">
        <v>45657</v>
      </c>
      <c r="AJ2118" s="2">
        <v>45244</v>
      </c>
    </row>
    <row r="2119" spans="1:36">
      <c r="A2119" s="1" t="str">
        <f>"ZED3D8632B"</f>
        <v>ZED3D8632B</v>
      </c>
      <c r="B2119" s="1" t="str">
        <f t="shared" si="43"/>
        <v>02406911202</v>
      </c>
      <c r="C2119" s="1" t="s">
        <v>13</v>
      </c>
      <c r="D2119" s="1" t="s">
        <v>264</v>
      </c>
      <c r="E2119" s="1" t="s">
        <v>2107</v>
      </c>
      <c r="F2119" s="1" t="s">
        <v>158</v>
      </c>
      <c r="G2119" s="1" t="str">
        <f>"03594140968"</f>
        <v>03594140968</v>
      </c>
      <c r="I2119" s="1" t="s">
        <v>2108</v>
      </c>
      <c r="L2119" s="1" t="s">
        <v>43</v>
      </c>
      <c r="M2119" s="1">
        <v>150</v>
      </c>
      <c r="AG2119" s="1">
        <v>0</v>
      </c>
      <c r="AH2119" s="2">
        <v>45260</v>
      </c>
      <c r="AI2119" s="2">
        <v>45291</v>
      </c>
      <c r="AJ2119" s="2">
        <v>45260</v>
      </c>
    </row>
    <row r="2120" spans="1:36">
      <c r="A2120" s="1" t="str">
        <f>"ZEE3CB1A31"</f>
        <v>ZEE3CB1A31</v>
      </c>
      <c r="B2120" s="1" t="str">
        <f t="shared" si="43"/>
        <v>02406911202</v>
      </c>
      <c r="C2120" s="1" t="s">
        <v>13</v>
      </c>
      <c r="D2120" s="1" t="s">
        <v>167</v>
      </c>
      <c r="E2120" s="1" t="s">
        <v>2109</v>
      </c>
      <c r="F2120" s="1" t="s">
        <v>151</v>
      </c>
      <c r="G2120" s="1" t="str">
        <f>"02457060032"</f>
        <v>02457060032</v>
      </c>
      <c r="I2120" s="1" t="s">
        <v>320</v>
      </c>
      <c r="L2120" s="1" t="s">
        <v>43</v>
      </c>
      <c r="M2120" s="1">
        <v>884</v>
      </c>
      <c r="AG2120" s="1">
        <v>0</v>
      </c>
      <c r="AH2120" s="2">
        <v>45215</v>
      </c>
      <c r="AI2120" s="2">
        <v>45945</v>
      </c>
      <c r="AJ2120" s="2">
        <v>45215</v>
      </c>
    </row>
    <row r="2121" spans="1:36">
      <c r="A2121" s="1" t="str">
        <f>"ZEE3D340A1"</f>
        <v>ZEE3D340A1</v>
      </c>
      <c r="B2121" s="1" t="str">
        <f t="shared" si="43"/>
        <v>02406911202</v>
      </c>
      <c r="C2121" s="1" t="s">
        <v>13</v>
      </c>
      <c r="D2121" s="1" t="s">
        <v>167</v>
      </c>
      <c r="E2121" s="1" t="s">
        <v>1662</v>
      </c>
      <c r="F2121" s="1" t="s">
        <v>151</v>
      </c>
      <c r="G2121" s="1" t="str">
        <f>"01316780426"</f>
        <v>01316780426</v>
      </c>
      <c r="I2121" s="1" t="s">
        <v>2110</v>
      </c>
      <c r="L2121" s="1" t="s">
        <v>43</v>
      </c>
      <c r="M2121" s="1">
        <v>262.41000000000003</v>
      </c>
      <c r="AG2121" s="1">
        <v>0</v>
      </c>
      <c r="AH2121" s="2">
        <v>45239</v>
      </c>
      <c r="AI2121" s="2">
        <v>45351</v>
      </c>
      <c r="AJ2121" s="2">
        <v>45239</v>
      </c>
    </row>
    <row r="2122" spans="1:36">
      <c r="A2122" s="1" t="str">
        <f>"ZEF3CD34BD"</f>
        <v>ZEF3CD34BD</v>
      </c>
      <c r="B2122" s="1" t="str">
        <f t="shared" si="43"/>
        <v>02406911202</v>
      </c>
      <c r="C2122" s="1" t="s">
        <v>13</v>
      </c>
      <c r="D2122" s="1" t="s">
        <v>180</v>
      </c>
      <c r="E2122" s="1" t="s">
        <v>296</v>
      </c>
      <c r="F2122" s="1" t="s">
        <v>158</v>
      </c>
      <c r="G2122" s="1" t="str">
        <f>"07351260158"</f>
        <v>07351260158</v>
      </c>
      <c r="I2122" s="1" t="s">
        <v>2111</v>
      </c>
      <c r="L2122" s="1" t="s">
        <v>43</v>
      </c>
      <c r="M2122" s="1">
        <v>6000</v>
      </c>
      <c r="AG2122" s="1">
        <v>2440.3200000000002</v>
      </c>
      <c r="AH2122" s="2">
        <v>45211</v>
      </c>
      <c r="AI2122" s="2">
        <v>45291</v>
      </c>
      <c r="AJ2122" s="2">
        <v>45211</v>
      </c>
    </row>
    <row r="2123" spans="1:36">
      <c r="A2123" s="1" t="str">
        <f>"ZEF3CE2EC2"</f>
        <v>ZEF3CE2EC2</v>
      </c>
      <c r="B2123" s="1" t="str">
        <f t="shared" si="43"/>
        <v>02406911202</v>
      </c>
      <c r="C2123" s="1" t="s">
        <v>13</v>
      </c>
      <c r="D2123" s="1" t="s">
        <v>180</v>
      </c>
      <c r="E2123" s="1" t="s">
        <v>296</v>
      </c>
      <c r="F2123" s="1" t="s">
        <v>158</v>
      </c>
      <c r="G2123" s="1" t="str">
        <f>"09331210154"</f>
        <v>09331210154</v>
      </c>
      <c r="I2123" s="1" t="s">
        <v>765</v>
      </c>
      <c r="L2123" s="1" t="s">
        <v>43</v>
      </c>
      <c r="M2123" s="1">
        <v>5000</v>
      </c>
      <c r="AG2123" s="1">
        <v>0</v>
      </c>
      <c r="AH2123" s="2">
        <v>45216</v>
      </c>
      <c r="AI2123" s="2">
        <v>45291</v>
      </c>
      <c r="AJ2123" s="2">
        <v>45216</v>
      </c>
    </row>
    <row r="2124" spans="1:36">
      <c r="A2124" s="1" t="str">
        <f>"ZEF3D33231"</f>
        <v>ZEF3D33231</v>
      </c>
      <c r="B2124" s="1" t="str">
        <f t="shared" si="43"/>
        <v>02406911202</v>
      </c>
      <c r="C2124" s="1" t="s">
        <v>13</v>
      </c>
      <c r="D2124" s="1" t="s">
        <v>180</v>
      </c>
      <c r="E2124" s="1" t="s">
        <v>281</v>
      </c>
      <c r="F2124" s="1" t="s">
        <v>158</v>
      </c>
      <c r="G2124" s="1" t="str">
        <f>"09238800156"</f>
        <v>09238800156</v>
      </c>
      <c r="I2124" s="1" t="s">
        <v>92</v>
      </c>
      <c r="L2124" s="1" t="s">
        <v>43</v>
      </c>
      <c r="M2124" s="1">
        <v>5000</v>
      </c>
      <c r="AG2124" s="1">
        <v>0</v>
      </c>
      <c r="AH2124" s="2">
        <v>45239</v>
      </c>
      <c r="AI2124" s="2">
        <v>45291</v>
      </c>
      <c r="AJ2124" s="2">
        <v>45239</v>
      </c>
    </row>
    <row r="2125" spans="1:36">
      <c r="A2125" s="1" t="str">
        <f>"ZEF3D74C46"</f>
        <v>ZEF3D74C46</v>
      </c>
      <c r="B2125" s="1" t="str">
        <f t="shared" si="43"/>
        <v>02406911202</v>
      </c>
      <c r="C2125" s="1" t="s">
        <v>13</v>
      </c>
      <c r="D2125" s="1" t="s">
        <v>180</v>
      </c>
      <c r="E2125" s="1" t="s">
        <v>220</v>
      </c>
      <c r="F2125" s="1" t="s">
        <v>158</v>
      </c>
      <c r="G2125" s="1" t="str">
        <f>"06068041000"</f>
        <v>06068041000</v>
      </c>
      <c r="I2125" s="1" t="s">
        <v>468</v>
      </c>
      <c r="L2125" s="1" t="s">
        <v>43</v>
      </c>
      <c r="M2125" s="1">
        <v>6000</v>
      </c>
      <c r="AG2125" s="1">
        <v>0</v>
      </c>
      <c r="AH2125" s="2">
        <v>45257</v>
      </c>
      <c r="AI2125" s="2">
        <v>45657</v>
      </c>
      <c r="AJ2125" s="2">
        <v>45257</v>
      </c>
    </row>
    <row r="2126" spans="1:36">
      <c r="A2126" s="1" t="str">
        <f>"ZEF3D93391"</f>
        <v>ZEF3D93391</v>
      </c>
      <c r="B2126" s="1" t="str">
        <f t="shared" si="43"/>
        <v>02406911202</v>
      </c>
      <c r="C2126" s="1" t="s">
        <v>13</v>
      </c>
      <c r="D2126" s="1" t="s">
        <v>167</v>
      </c>
      <c r="E2126" s="1" t="s">
        <v>2112</v>
      </c>
      <c r="F2126" s="1" t="s">
        <v>151</v>
      </c>
      <c r="G2126" s="1" t="str">
        <f>"04479460158"</f>
        <v>04479460158</v>
      </c>
      <c r="I2126" s="1" t="s">
        <v>2105</v>
      </c>
      <c r="L2126" s="1" t="s">
        <v>43</v>
      </c>
      <c r="M2126" s="1">
        <v>10572.87</v>
      </c>
      <c r="AG2126" s="1">
        <v>0</v>
      </c>
      <c r="AH2126" s="2">
        <v>45264</v>
      </c>
      <c r="AI2126" s="2">
        <v>45626</v>
      </c>
      <c r="AJ2126" s="2">
        <v>45264</v>
      </c>
    </row>
    <row r="2127" spans="1:36">
      <c r="A2127" s="1" t="str">
        <f>"ZF03CA7ED6"</f>
        <v>ZF03CA7ED6</v>
      </c>
      <c r="B2127" s="1" t="str">
        <f t="shared" si="43"/>
        <v>02406911202</v>
      </c>
      <c r="C2127" s="1" t="s">
        <v>13</v>
      </c>
      <c r="D2127" s="1" t="s">
        <v>180</v>
      </c>
      <c r="E2127" s="1" t="s">
        <v>181</v>
      </c>
      <c r="F2127" s="1" t="s">
        <v>158</v>
      </c>
      <c r="G2127" s="1" t="str">
        <f>"11654150157"</f>
        <v>11654150157</v>
      </c>
      <c r="I2127" s="1" t="s">
        <v>263</v>
      </c>
      <c r="L2127" s="1" t="s">
        <v>43</v>
      </c>
      <c r="M2127" s="1">
        <v>5000</v>
      </c>
      <c r="AG2127" s="1">
        <v>3457.6</v>
      </c>
      <c r="AH2127" s="2">
        <v>45198</v>
      </c>
      <c r="AI2127" s="2">
        <v>45291</v>
      </c>
      <c r="AJ2127" s="2">
        <v>45198</v>
      </c>
    </row>
    <row r="2128" spans="1:36">
      <c r="A2128" s="1" t="str">
        <f>"ZF03CAC764"</f>
        <v>ZF03CAC764</v>
      </c>
      <c r="B2128" s="1" t="str">
        <f t="shared" si="43"/>
        <v>02406911202</v>
      </c>
      <c r="C2128" s="1" t="s">
        <v>13</v>
      </c>
      <c r="D2128" s="1" t="s">
        <v>186</v>
      </c>
      <c r="E2128" s="1" t="s">
        <v>1981</v>
      </c>
      <c r="F2128" s="1" t="s">
        <v>158</v>
      </c>
      <c r="G2128" s="1" t="str">
        <f>"00615700374"</f>
        <v>00615700374</v>
      </c>
      <c r="I2128" s="1" t="s">
        <v>332</v>
      </c>
      <c r="L2128" s="1" t="s">
        <v>43</v>
      </c>
      <c r="M2128" s="1">
        <v>4999</v>
      </c>
      <c r="AG2128" s="1">
        <v>0</v>
      </c>
      <c r="AH2128" s="2">
        <v>45201</v>
      </c>
      <c r="AI2128" s="2">
        <v>45657</v>
      </c>
      <c r="AJ2128" s="2">
        <v>45201</v>
      </c>
    </row>
    <row r="2129" spans="1:36">
      <c r="A2129" s="1" t="str">
        <f>"ZF03CD2B34"</f>
        <v>ZF03CD2B34</v>
      </c>
      <c r="B2129" s="1" t="str">
        <f t="shared" si="43"/>
        <v>02406911202</v>
      </c>
      <c r="C2129" s="1" t="s">
        <v>13</v>
      </c>
      <c r="D2129" s="1" t="s">
        <v>186</v>
      </c>
      <c r="E2129" s="1" t="s">
        <v>2113</v>
      </c>
      <c r="F2129" s="1" t="s">
        <v>158</v>
      </c>
      <c r="G2129" s="1" t="str">
        <f>"02607721202"</f>
        <v>02607721202</v>
      </c>
      <c r="I2129" s="1" t="s">
        <v>2114</v>
      </c>
      <c r="L2129" s="1" t="s">
        <v>43</v>
      </c>
      <c r="M2129" s="1">
        <v>500</v>
      </c>
      <c r="AG2129" s="1">
        <v>500</v>
      </c>
      <c r="AH2129" s="2">
        <v>45200</v>
      </c>
      <c r="AI2129" s="2">
        <v>45230</v>
      </c>
      <c r="AJ2129" s="2">
        <v>45200</v>
      </c>
    </row>
    <row r="2130" spans="1:36">
      <c r="A2130" s="1" t="str">
        <f>"ZF03CFD2AB"</f>
        <v>ZF03CFD2AB</v>
      </c>
      <c r="B2130" s="1" t="str">
        <f t="shared" si="43"/>
        <v>02406911202</v>
      </c>
      <c r="C2130" s="1" t="s">
        <v>13</v>
      </c>
      <c r="D2130" s="1" t="s">
        <v>264</v>
      </c>
      <c r="E2130" s="1" t="s">
        <v>2115</v>
      </c>
      <c r="F2130" s="1" t="s">
        <v>158</v>
      </c>
      <c r="G2130" s="1" t="str">
        <f>"02119100358"</f>
        <v>02119100358</v>
      </c>
      <c r="I2130" s="1" t="s">
        <v>429</v>
      </c>
      <c r="L2130" s="1" t="s">
        <v>43</v>
      </c>
      <c r="M2130" s="1">
        <v>2000</v>
      </c>
      <c r="AG2130" s="1">
        <v>0</v>
      </c>
      <c r="AH2130" s="2">
        <v>45223</v>
      </c>
      <c r="AI2130" s="2">
        <v>45291</v>
      </c>
      <c r="AJ2130" s="2">
        <v>45223</v>
      </c>
    </row>
    <row r="2131" spans="1:36">
      <c r="A2131" s="1" t="str">
        <f>"ZF03D444FE"</f>
        <v>ZF03D444FE</v>
      </c>
      <c r="B2131" s="1" t="str">
        <f t="shared" si="43"/>
        <v>02406911202</v>
      </c>
      <c r="C2131" s="1" t="s">
        <v>13</v>
      </c>
      <c r="D2131" s="1" t="s">
        <v>180</v>
      </c>
      <c r="E2131" s="1" t="s">
        <v>279</v>
      </c>
      <c r="F2131" s="1" t="s">
        <v>158</v>
      </c>
      <c r="G2131" s="1" t="str">
        <f>"00801720152"</f>
        <v>00801720152</v>
      </c>
      <c r="I2131" s="1" t="s">
        <v>1585</v>
      </c>
      <c r="L2131" s="1" t="s">
        <v>43</v>
      </c>
      <c r="M2131" s="1">
        <v>5000</v>
      </c>
      <c r="AG2131" s="1">
        <v>0</v>
      </c>
      <c r="AH2131" s="2">
        <v>45244</v>
      </c>
      <c r="AI2131" s="2">
        <v>45291</v>
      </c>
      <c r="AJ2131" s="2">
        <v>45244</v>
      </c>
    </row>
    <row r="2132" spans="1:36">
      <c r="A2132" s="1" t="str">
        <f>"ZF03DAF0F8"</f>
        <v>ZF03DAF0F8</v>
      </c>
      <c r="B2132" s="1" t="str">
        <f t="shared" si="43"/>
        <v>02406911202</v>
      </c>
      <c r="C2132" s="1" t="s">
        <v>13</v>
      </c>
      <c r="D2132" s="1" t="s">
        <v>167</v>
      </c>
      <c r="E2132" s="1" t="s">
        <v>2116</v>
      </c>
      <c r="F2132" s="1" t="s">
        <v>151</v>
      </c>
      <c r="G2132" s="1" t="str">
        <f>"09600400965"</f>
        <v>09600400965</v>
      </c>
      <c r="I2132" s="1" t="s">
        <v>2117</v>
      </c>
      <c r="L2132" s="1" t="s">
        <v>43</v>
      </c>
      <c r="M2132" s="1">
        <v>3240</v>
      </c>
      <c r="AG2132" s="1">
        <v>0</v>
      </c>
      <c r="AH2132" s="2">
        <v>45281</v>
      </c>
      <c r="AI2132" s="2">
        <v>46022</v>
      </c>
      <c r="AJ2132" s="2">
        <v>45281</v>
      </c>
    </row>
    <row r="2133" spans="1:36">
      <c r="A2133" s="1" t="str">
        <f>"ZF03DBC9A7"</f>
        <v>ZF03DBC9A7</v>
      </c>
      <c r="B2133" s="1" t="str">
        <f t="shared" si="43"/>
        <v>02406911202</v>
      </c>
      <c r="C2133" s="1" t="s">
        <v>13</v>
      </c>
      <c r="D2133" s="1" t="s">
        <v>180</v>
      </c>
      <c r="E2133" s="1" t="s">
        <v>281</v>
      </c>
      <c r="F2133" s="1" t="s">
        <v>158</v>
      </c>
      <c r="G2133" s="1" t="str">
        <f>"15685941005"</f>
        <v>15685941005</v>
      </c>
      <c r="I2133" s="1" t="s">
        <v>1495</v>
      </c>
      <c r="L2133" s="1" t="s">
        <v>43</v>
      </c>
      <c r="M2133" s="1">
        <v>6000</v>
      </c>
      <c r="AG2133" s="1">
        <v>0</v>
      </c>
      <c r="AH2133" s="2">
        <v>45287</v>
      </c>
      <c r="AI2133" s="2">
        <v>45657</v>
      </c>
      <c r="AJ2133" s="2">
        <v>45287</v>
      </c>
    </row>
    <row r="2134" spans="1:36">
      <c r="A2134" s="1" t="str">
        <f>"ZF13CA1537"</f>
        <v>ZF13CA1537</v>
      </c>
      <c r="B2134" s="1" t="str">
        <f t="shared" si="43"/>
        <v>02406911202</v>
      </c>
      <c r="C2134" s="1" t="s">
        <v>13</v>
      </c>
      <c r="D2134" s="1" t="s">
        <v>180</v>
      </c>
      <c r="E2134" s="1" t="s">
        <v>296</v>
      </c>
      <c r="F2134" s="1" t="s">
        <v>158</v>
      </c>
      <c r="G2134" s="1" t="str">
        <f>"06068041000"</f>
        <v>06068041000</v>
      </c>
      <c r="I2134" s="1" t="s">
        <v>468</v>
      </c>
      <c r="L2134" s="1" t="s">
        <v>43</v>
      </c>
      <c r="M2134" s="1">
        <v>6000</v>
      </c>
      <c r="AG2134" s="1">
        <v>6000</v>
      </c>
      <c r="AH2134" s="2">
        <v>45197</v>
      </c>
      <c r="AI2134" s="2">
        <v>45291</v>
      </c>
      <c r="AJ2134" s="2">
        <v>45197</v>
      </c>
    </row>
    <row r="2135" spans="1:36">
      <c r="A2135" s="1" t="str">
        <f>"ZF13D04A8E"</f>
        <v>ZF13D04A8E</v>
      </c>
      <c r="B2135" s="1" t="str">
        <f t="shared" si="43"/>
        <v>02406911202</v>
      </c>
      <c r="C2135" s="1" t="s">
        <v>13</v>
      </c>
      <c r="D2135" s="1" t="s">
        <v>180</v>
      </c>
      <c r="E2135" s="1" t="s">
        <v>279</v>
      </c>
      <c r="F2135" s="1" t="s">
        <v>158</v>
      </c>
      <c r="G2135" s="1" t="str">
        <f>"12792100153"</f>
        <v>12792100153</v>
      </c>
      <c r="I2135" s="1" t="s">
        <v>58</v>
      </c>
      <c r="L2135" s="1" t="s">
        <v>43</v>
      </c>
      <c r="M2135" s="1">
        <v>5000</v>
      </c>
      <c r="AG2135" s="1">
        <v>2156.33</v>
      </c>
      <c r="AH2135" s="2">
        <v>45225</v>
      </c>
      <c r="AI2135" s="2">
        <v>45291</v>
      </c>
      <c r="AJ2135" s="2">
        <v>45225</v>
      </c>
    </row>
    <row r="2136" spans="1:36">
      <c r="A2136" s="1" t="str">
        <f>"ZF23CA223B"</f>
        <v>ZF23CA223B</v>
      </c>
      <c r="B2136" s="1" t="str">
        <f t="shared" si="43"/>
        <v>02406911202</v>
      </c>
      <c r="C2136" s="1" t="s">
        <v>13</v>
      </c>
      <c r="D2136" s="1" t="s">
        <v>180</v>
      </c>
      <c r="E2136" s="1" t="s">
        <v>281</v>
      </c>
      <c r="F2136" s="1" t="s">
        <v>158</v>
      </c>
      <c r="G2136" s="1" t="str">
        <f>"12572900152"</f>
        <v>12572900152</v>
      </c>
      <c r="I2136" s="1" t="s">
        <v>335</v>
      </c>
      <c r="L2136" s="1" t="s">
        <v>43</v>
      </c>
      <c r="M2136" s="1">
        <v>6000</v>
      </c>
      <c r="AG2136" s="1">
        <v>6850.4</v>
      </c>
      <c r="AH2136" s="2">
        <v>45197</v>
      </c>
      <c r="AI2136" s="2">
        <v>45291</v>
      </c>
      <c r="AJ2136" s="2">
        <v>45197</v>
      </c>
    </row>
    <row r="2137" spans="1:36">
      <c r="A2137" s="1" t="str">
        <f>"ZF23D6C0E0"</f>
        <v>ZF23D6C0E0</v>
      </c>
      <c r="B2137" s="1" t="str">
        <f t="shared" si="43"/>
        <v>02406911202</v>
      </c>
      <c r="C2137" s="1" t="s">
        <v>13</v>
      </c>
      <c r="D2137" s="1" t="s">
        <v>186</v>
      </c>
      <c r="E2137" s="1" t="s">
        <v>2118</v>
      </c>
      <c r="F2137" s="1" t="s">
        <v>158</v>
      </c>
      <c r="G2137" s="1" t="str">
        <f>"06653670486"</f>
        <v>06653670486</v>
      </c>
      <c r="I2137" s="1" t="s">
        <v>1587</v>
      </c>
      <c r="L2137" s="1" t="s">
        <v>43</v>
      </c>
      <c r="M2137" s="1">
        <v>4999</v>
      </c>
      <c r="AG2137" s="1">
        <v>0</v>
      </c>
      <c r="AH2137" s="2">
        <v>45253</v>
      </c>
      <c r="AI2137" s="2">
        <v>45657</v>
      </c>
      <c r="AJ2137" s="2">
        <v>45253</v>
      </c>
    </row>
    <row r="2138" spans="1:36">
      <c r="A2138" s="1" t="str">
        <f>"ZF33CB1A8F"</f>
        <v>ZF33CB1A8F</v>
      </c>
      <c r="B2138" s="1" t="str">
        <f t="shared" si="43"/>
        <v>02406911202</v>
      </c>
      <c r="C2138" s="1" t="s">
        <v>13</v>
      </c>
      <c r="D2138" s="1" t="s">
        <v>167</v>
      </c>
      <c r="E2138" s="1" t="s">
        <v>2119</v>
      </c>
      <c r="F2138" s="1" t="s">
        <v>151</v>
      </c>
      <c r="G2138" s="1" t="str">
        <f>"02457060032"</f>
        <v>02457060032</v>
      </c>
      <c r="I2138" s="1" t="s">
        <v>320</v>
      </c>
      <c r="L2138" s="1" t="s">
        <v>43</v>
      </c>
      <c r="M2138" s="1">
        <v>4040</v>
      </c>
      <c r="AG2138" s="1">
        <v>0</v>
      </c>
      <c r="AH2138" s="2">
        <v>45215</v>
      </c>
      <c r="AI2138" s="2">
        <v>45945</v>
      </c>
      <c r="AJ2138" s="2">
        <v>45215</v>
      </c>
    </row>
    <row r="2139" spans="1:36">
      <c r="A2139" s="1" t="str">
        <f>"ZF33CC6FC3"</f>
        <v>ZF33CC6FC3</v>
      </c>
      <c r="B2139" s="1" t="str">
        <f t="shared" si="43"/>
        <v>02406911202</v>
      </c>
      <c r="C2139" s="1" t="s">
        <v>13</v>
      </c>
      <c r="D2139" s="1" t="s">
        <v>180</v>
      </c>
      <c r="E2139" s="1" t="s">
        <v>279</v>
      </c>
      <c r="F2139" s="1" t="s">
        <v>158</v>
      </c>
      <c r="G2139" s="1" t="str">
        <f>"05848611009"</f>
        <v>05848611009</v>
      </c>
      <c r="I2139" s="1" t="s">
        <v>1509</v>
      </c>
      <c r="L2139" s="1" t="s">
        <v>43</v>
      </c>
      <c r="M2139" s="1">
        <v>5000</v>
      </c>
      <c r="AG2139" s="1">
        <v>6000</v>
      </c>
      <c r="AH2139" s="2">
        <v>45209</v>
      </c>
      <c r="AI2139" s="2">
        <v>45291</v>
      </c>
      <c r="AJ2139" s="2">
        <v>45209</v>
      </c>
    </row>
    <row r="2140" spans="1:36">
      <c r="A2140" s="1" t="str">
        <f>"ZF33D4BC70"</f>
        <v>ZF33D4BC70</v>
      </c>
      <c r="B2140" s="1" t="str">
        <f t="shared" si="43"/>
        <v>02406911202</v>
      </c>
      <c r="C2140" s="1" t="s">
        <v>13</v>
      </c>
      <c r="D2140" s="1" t="s">
        <v>180</v>
      </c>
      <c r="E2140" s="1" t="s">
        <v>296</v>
      </c>
      <c r="F2140" s="1" t="s">
        <v>158</v>
      </c>
      <c r="G2140" s="1" t="str">
        <f>"02790240101"</f>
        <v>02790240101</v>
      </c>
      <c r="I2140" s="1" t="s">
        <v>260</v>
      </c>
      <c r="L2140" s="1" t="s">
        <v>43</v>
      </c>
      <c r="M2140" s="1">
        <v>5000</v>
      </c>
      <c r="AG2140" s="1">
        <v>0</v>
      </c>
      <c r="AH2140" s="2">
        <v>45245</v>
      </c>
      <c r="AI2140" s="2">
        <v>45291</v>
      </c>
      <c r="AJ2140" s="2">
        <v>45245</v>
      </c>
    </row>
    <row r="2141" spans="1:36">
      <c r="A2141" s="1" t="str">
        <f>"ZF33DB007C"</f>
        <v>ZF33DB007C</v>
      </c>
      <c r="B2141" s="1" t="str">
        <f t="shared" si="43"/>
        <v>02406911202</v>
      </c>
      <c r="C2141" s="1" t="s">
        <v>13</v>
      </c>
      <c r="D2141" s="1" t="s">
        <v>167</v>
      </c>
      <c r="E2141" s="1" t="s">
        <v>2120</v>
      </c>
      <c r="F2141" s="1" t="s">
        <v>151</v>
      </c>
      <c r="H2141" s="1" t="str">
        <f>"48429526973"</f>
        <v>48429526973</v>
      </c>
      <c r="I2141" s="1" t="s">
        <v>2121</v>
      </c>
      <c r="L2141" s="1" t="s">
        <v>43</v>
      </c>
      <c r="M2141" s="1">
        <v>24760</v>
      </c>
      <c r="AG2141" s="1">
        <v>0</v>
      </c>
      <c r="AH2141" s="2">
        <v>45281</v>
      </c>
      <c r="AI2141" s="2">
        <v>46022</v>
      </c>
      <c r="AJ2141" s="2">
        <v>45281</v>
      </c>
    </row>
    <row r="2142" spans="1:36">
      <c r="A2142" s="1" t="str">
        <f>"ZF33DD2F5A"</f>
        <v>ZF33DD2F5A</v>
      </c>
      <c r="B2142" s="1" t="str">
        <f t="shared" si="43"/>
        <v>02406911202</v>
      </c>
      <c r="C2142" s="1" t="s">
        <v>13</v>
      </c>
      <c r="D2142" s="1" t="s">
        <v>180</v>
      </c>
      <c r="E2142" s="1" t="s">
        <v>279</v>
      </c>
      <c r="F2142" s="1" t="s">
        <v>158</v>
      </c>
      <c r="G2142" s="1" t="str">
        <f>"10926940965"</f>
        <v>10926940965</v>
      </c>
      <c r="I2142" s="1" t="s">
        <v>1578</v>
      </c>
      <c r="L2142" s="1" t="s">
        <v>43</v>
      </c>
      <c r="M2142" s="1">
        <v>5000</v>
      </c>
      <c r="AG2142" s="1">
        <v>0</v>
      </c>
      <c r="AH2142" s="2">
        <v>45278</v>
      </c>
      <c r="AI2142" s="2">
        <v>45291</v>
      </c>
      <c r="AJ2142" s="2">
        <v>45278</v>
      </c>
    </row>
    <row r="2143" spans="1:36">
      <c r="A2143" s="1" t="str">
        <f>"ZF43CB23A7"</f>
        <v>ZF43CB23A7</v>
      </c>
      <c r="B2143" s="1" t="str">
        <f t="shared" si="43"/>
        <v>02406911202</v>
      </c>
      <c r="C2143" s="1" t="s">
        <v>13</v>
      </c>
      <c r="D2143" s="1" t="s">
        <v>177</v>
      </c>
      <c r="E2143" s="1" t="s">
        <v>2122</v>
      </c>
      <c r="F2143" s="1" t="s">
        <v>158</v>
      </c>
      <c r="G2143" s="1" t="str">
        <f>"00652161209"</f>
        <v>00652161209</v>
      </c>
      <c r="I2143" s="1" t="s">
        <v>2123</v>
      </c>
      <c r="L2143" s="1" t="s">
        <v>43</v>
      </c>
      <c r="M2143" s="1">
        <v>4350</v>
      </c>
      <c r="AG2143" s="1">
        <v>0</v>
      </c>
      <c r="AH2143" s="2">
        <v>45202</v>
      </c>
      <c r="AI2143" s="2">
        <v>45291</v>
      </c>
      <c r="AJ2143" s="2">
        <v>45202</v>
      </c>
    </row>
    <row r="2144" spans="1:36">
      <c r="A2144" s="1" t="str">
        <f>"ZF43CD3EE9"</f>
        <v>ZF43CD3EE9</v>
      </c>
      <c r="B2144" s="1" t="str">
        <f t="shared" si="43"/>
        <v>02406911202</v>
      </c>
      <c r="C2144" s="1" t="s">
        <v>13</v>
      </c>
      <c r="D2144" s="1" t="s">
        <v>186</v>
      </c>
      <c r="E2144" s="1" t="s">
        <v>2124</v>
      </c>
      <c r="F2144" s="1" t="s">
        <v>158</v>
      </c>
      <c r="G2144" s="1" t="str">
        <f>"03804171209"</f>
        <v>03804171209</v>
      </c>
      <c r="I2144" s="1" t="s">
        <v>2125</v>
      </c>
      <c r="L2144" s="1" t="s">
        <v>43</v>
      </c>
      <c r="M2144" s="1">
        <v>4999</v>
      </c>
      <c r="AG2144" s="1">
        <v>0</v>
      </c>
      <c r="AH2144" s="2">
        <v>45211</v>
      </c>
      <c r="AI2144" s="2">
        <v>45657</v>
      </c>
      <c r="AJ2144" s="2">
        <v>45211</v>
      </c>
    </row>
    <row r="2145" spans="1:36">
      <c r="A2145" s="1" t="str">
        <f>"ZF43CFFEE3"</f>
        <v>ZF43CFFEE3</v>
      </c>
      <c r="B2145" s="1" t="str">
        <f t="shared" si="43"/>
        <v>02406911202</v>
      </c>
      <c r="C2145" s="1" t="s">
        <v>13</v>
      </c>
      <c r="D2145" s="1" t="s">
        <v>186</v>
      </c>
      <c r="E2145" s="1" t="s">
        <v>2126</v>
      </c>
      <c r="F2145" s="1" t="s">
        <v>158</v>
      </c>
      <c r="G2145" s="1" t="str">
        <f>"02491851206"</f>
        <v>02491851206</v>
      </c>
      <c r="I2145" s="1" t="s">
        <v>639</v>
      </c>
      <c r="L2145" s="1" t="s">
        <v>43</v>
      </c>
      <c r="M2145" s="1">
        <v>4990</v>
      </c>
      <c r="AG2145" s="1">
        <v>1213.94</v>
      </c>
      <c r="AH2145" s="2">
        <v>45224</v>
      </c>
      <c r="AI2145" s="2">
        <v>45657</v>
      </c>
      <c r="AJ2145" s="2">
        <v>45224</v>
      </c>
    </row>
    <row r="2146" spans="1:36">
      <c r="A2146" s="1" t="str">
        <f>"ZF53D457FD"</f>
        <v>ZF53D457FD</v>
      </c>
      <c r="B2146" s="1" t="str">
        <f t="shared" si="43"/>
        <v>02406911202</v>
      </c>
      <c r="C2146" s="1" t="s">
        <v>13</v>
      </c>
      <c r="D2146" s="1" t="s">
        <v>177</v>
      </c>
      <c r="E2146" s="1" t="s">
        <v>2127</v>
      </c>
      <c r="F2146" s="1" t="s">
        <v>158</v>
      </c>
      <c r="G2146" s="1" t="str">
        <f>"91372820372"</f>
        <v>91372820372</v>
      </c>
      <c r="I2146" s="1" t="s">
        <v>2128</v>
      </c>
      <c r="L2146" s="1" t="s">
        <v>43</v>
      </c>
      <c r="M2146" s="1">
        <v>1900</v>
      </c>
      <c r="AG2146" s="1">
        <v>0</v>
      </c>
      <c r="AH2146" s="2">
        <v>45139</v>
      </c>
      <c r="AI2146" s="2">
        <v>45291</v>
      </c>
      <c r="AJ2146" s="2">
        <v>45139</v>
      </c>
    </row>
    <row r="2147" spans="1:36">
      <c r="A2147" s="1" t="str">
        <f>"ZF53D93E02"</f>
        <v>ZF53D93E02</v>
      </c>
      <c r="B2147" s="1" t="str">
        <f t="shared" si="43"/>
        <v>02406911202</v>
      </c>
      <c r="C2147" s="1" t="s">
        <v>13</v>
      </c>
      <c r="D2147" s="1" t="s">
        <v>180</v>
      </c>
      <c r="E2147" s="1" t="s">
        <v>2129</v>
      </c>
      <c r="F2147" s="1" t="s">
        <v>158</v>
      </c>
      <c r="G2147" s="1" t="str">
        <f>"00471770016"</f>
        <v>00471770016</v>
      </c>
      <c r="I2147" s="1" t="s">
        <v>794</v>
      </c>
      <c r="L2147" s="1" t="s">
        <v>43</v>
      </c>
      <c r="M2147" s="1">
        <v>5000</v>
      </c>
      <c r="AG2147" s="1">
        <v>0</v>
      </c>
      <c r="AH2147" s="2">
        <v>45264</v>
      </c>
      <c r="AI2147" s="2">
        <v>45291</v>
      </c>
      <c r="AJ2147" s="2">
        <v>45264</v>
      </c>
    </row>
    <row r="2148" spans="1:36">
      <c r="A2148" s="1" t="str">
        <f>"ZF53DAF05B"</f>
        <v>ZF53DAF05B</v>
      </c>
      <c r="B2148" s="1" t="str">
        <f t="shared" si="43"/>
        <v>02406911202</v>
      </c>
      <c r="C2148" s="1" t="s">
        <v>13</v>
      </c>
      <c r="D2148" s="1" t="s">
        <v>167</v>
      </c>
      <c r="E2148" s="1" t="s">
        <v>2130</v>
      </c>
      <c r="F2148" s="1" t="s">
        <v>151</v>
      </c>
      <c r="G2148" s="1" t="str">
        <f>"05849130157"</f>
        <v>05849130157</v>
      </c>
      <c r="I2148" s="1" t="s">
        <v>634</v>
      </c>
      <c r="L2148" s="1" t="s">
        <v>43</v>
      </c>
      <c r="M2148" s="1">
        <v>16980.009999999998</v>
      </c>
      <c r="AG2148" s="1">
        <v>0</v>
      </c>
      <c r="AH2148" s="2">
        <v>45281</v>
      </c>
      <c r="AI2148" s="2">
        <v>45657</v>
      </c>
      <c r="AJ2148" s="2">
        <v>45281</v>
      </c>
    </row>
    <row r="2149" spans="1:36">
      <c r="A2149" s="1" t="str">
        <f>"ZF63D63F8D"</f>
        <v>ZF63D63F8D</v>
      </c>
      <c r="B2149" s="1" t="str">
        <f t="shared" si="43"/>
        <v>02406911202</v>
      </c>
      <c r="C2149" s="1" t="s">
        <v>13</v>
      </c>
      <c r="D2149" s="1" t="s">
        <v>180</v>
      </c>
      <c r="E2149" s="1" t="s">
        <v>279</v>
      </c>
      <c r="F2149" s="1" t="s">
        <v>158</v>
      </c>
      <c r="G2149" s="1" t="str">
        <f>"02368591208"</f>
        <v>02368591208</v>
      </c>
      <c r="I2149" s="1" t="s">
        <v>760</v>
      </c>
      <c r="L2149" s="1" t="s">
        <v>43</v>
      </c>
      <c r="M2149" s="1">
        <v>6000</v>
      </c>
      <c r="AG2149" s="1">
        <v>0</v>
      </c>
      <c r="AH2149" s="2">
        <v>45252</v>
      </c>
      <c r="AI2149" s="2">
        <v>45291</v>
      </c>
      <c r="AJ2149" s="2">
        <v>45252</v>
      </c>
    </row>
    <row r="2150" spans="1:36">
      <c r="A2150" s="1" t="str">
        <f>"ZF63DB48DE"</f>
        <v>ZF63DB48DE</v>
      </c>
      <c r="B2150" s="1" t="str">
        <f t="shared" si="43"/>
        <v>02406911202</v>
      </c>
      <c r="C2150" s="1" t="s">
        <v>13</v>
      </c>
      <c r="D2150" s="1" t="s">
        <v>180</v>
      </c>
      <c r="E2150" s="1" t="s">
        <v>281</v>
      </c>
      <c r="F2150" s="1" t="s">
        <v>158</v>
      </c>
      <c r="G2150" s="1" t="str">
        <f>"12572900152"</f>
        <v>12572900152</v>
      </c>
      <c r="I2150" s="1" t="s">
        <v>335</v>
      </c>
      <c r="L2150" s="1" t="s">
        <v>43</v>
      </c>
      <c r="M2150" s="1">
        <v>6000</v>
      </c>
      <c r="AG2150" s="1">
        <v>0</v>
      </c>
      <c r="AH2150" s="2">
        <v>45272</v>
      </c>
      <c r="AI2150" s="2">
        <v>45291</v>
      </c>
      <c r="AJ2150" s="2">
        <v>45272</v>
      </c>
    </row>
    <row r="2151" spans="1:36">
      <c r="A2151" s="1" t="str">
        <f>"ZF73D1CA8E"</f>
        <v>ZF73D1CA8E</v>
      </c>
      <c r="B2151" s="1" t="str">
        <f t="shared" si="43"/>
        <v>02406911202</v>
      </c>
      <c r="C2151" s="1" t="s">
        <v>13</v>
      </c>
      <c r="D2151" s="1" t="s">
        <v>180</v>
      </c>
      <c r="E2151" s="1" t="s">
        <v>281</v>
      </c>
      <c r="F2151" s="1" t="s">
        <v>158</v>
      </c>
      <c r="G2151" s="1" t="str">
        <f>"09270550016"</f>
        <v>09270550016</v>
      </c>
      <c r="I2151" s="1" t="s">
        <v>406</v>
      </c>
      <c r="L2151" s="1" t="s">
        <v>43</v>
      </c>
      <c r="M2151" s="1">
        <v>6000</v>
      </c>
      <c r="AG2151" s="1">
        <v>7039.1</v>
      </c>
      <c r="AH2151" s="2">
        <v>45233</v>
      </c>
      <c r="AI2151" s="2">
        <v>45291</v>
      </c>
      <c r="AJ2151" s="2">
        <v>45233</v>
      </c>
    </row>
    <row r="2152" spans="1:36">
      <c r="A2152" s="1" t="str">
        <f>"ZF73D673C9"</f>
        <v>ZF73D673C9</v>
      </c>
      <c r="B2152" s="1" t="str">
        <f t="shared" si="43"/>
        <v>02406911202</v>
      </c>
      <c r="C2152" s="1" t="s">
        <v>13</v>
      </c>
      <c r="D2152" s="1" t="s">
        <v>264</v>
      </c>
      <c r="E2152" s="1" t="s">
        <v>2131</v>
      </c>
      <c r="F2152" s="1" t="s">
        <v>158</v>
      </c>
      <c r="G2152" s="1" t="str">
        <f>"01802940484"</f>
        <v>01802940484</v>
      </c>
      <c r="I2152" s="1" t="s">
        <v>2132</v>
      </c>
      <c r="L2152" s="1" t="s">
        <v>43</v>
      </c>
      <c r="M2152" s="1">
        <v>1600</v>
      </c>
      <c r="AG2152" s="1">
        <v>0</v>
      </c>
      <c r="AH2152" s="2">
        <v>45252</v>
      </c>
      <c r="AI2152" s="2">
        <v>45259</v>
      </c>
      <c r="AJ2152" s="2">
        <v>45252</v>
      </c>
    </row>
    <row r="2153" spans="1:36">
      <c r="A2153" s="1" t="str">
        <f>"ZF73D95519"</f>
        <v>ZF73D95519</v>
      </c>
      <c r="B2153" s="1" t="str">
        <f t="shared" si="43"/>
        <v>02406911202</v>
      </c>
      <c r="C2153" s="1" t="s">
        <v>13</v>
      </c>
      <c r="D2153" s="1" t="s">
        <v>186</v>
      </c>
      <c r="E2153" s="1" t="s">
        <v>1590</v>
      </c>
      <c r="F2153" s="1" t="s">
        <v>158</v>
      </c>
      <c r="G2153" s="1" t="str">
        <f>"01067490050"</f>
        <v>01067490050</v>
      </c>
      <c r="I2153" s="1" t="s">
        <v>211</v>
      </c>
      <c r="L2153" s="1" t="s">
        <v>43</v>
      </c>
      <c r="M2153" s="1">
        <v>4999</v>
      </c>
      <c r="AG2153" s="1">
        <v>0</v>
      </c>
      <c r="AH2153" s="2">
        <v>45264</v>
      </c>
      <c r="AI2153" s="2">
        <v>45657</v>
      </c>
      <c r="AJ2153" s="2">
        <v>45264</v>
      </c>
    </row>
    <row r="2154" spans="1:36">
      <c r="A2154" s="1" t="str">
        <f>"ZF83CB1BE8"</f>
        <v>ZF83CB1BE8</v>
      </c>
      <c r="B2154" s="1" t="str">
        <f t="shared" si="43"/>
        <v>02406911202</v>
      </c>
      <c r="C2154" s="1" t="s">
        <v>13</v>
      </c>
      <c r="D2154" s="1" t="s">
        <v>167</v>
      </c>
      <c r="E2154" s="1" t="s">
        <v>2133</v>
      </c>
      <c r="F2154" s="1" t="s">
        <v>151</v>
      </c>
      <c r="G2154" s="1" t="str">
        <f>"02256250446"</f>
        <v>02256250446</v>
      </c>
      <c r="I2154" s="1" t="s">
        <v>403</v>
      </c>
      <c r="L2154" s="1" t="s">
        <v>43</v>
      </c>
      <c r="M2154" s="1">
        <v>19006</v>
      </c>
      <c r="AG2154" s="1">
        <v>0</v>
      </c>
      <c r="AH2154" s="2">
        <v>45215</v>
      </c>
      <c r="AI2154" s="2">
        <v>45945</v>
      </c>
      <c r="AJ2154" s="2">
        <v>45215</v>
      </c>
    </row>
    <row r="2155" spans="1:36">
      <c r="A2155" s="1" t="str">
        <f>"ZF83D0505D"</f>
        <v>ZF83D0505D</v>
      </c>
      <c r="B2155" s="1" t="str">
        <f t="shared" si="43"/>
        <v>02406911202</v>
      </c>
      <c r="C2155" s="1" t="s">
        <v>13</v>
      </c>
      <c r="D2155" s="1" t="s">
        <v>164</v>
      </c>
      <c r="E2155" s="1" t="s">
        <v>2134</v>
      </c>
      <c r="F2155" s="1" t="s">
        <v>39</v>
      </c>
      <c r="G2155" s="1" t="str">
        <f>"02138390360"</f>
        <v>02138390360</v>
      </c>
      <c r="I2155" s="1" t="s">
        <v>839</v>
      </c>
      <c r="L2155" s="1" t="s">
        <v>43</v>
      </c>
      <c r="M2155" s="1">
        <v>11564</v>
      </c>
      <c r="AG2155" s="1">
        <v>0</v>
      </c>
      <c r="AH2155" s="2">
        <v>45225</v>
      </c>
      <c r="AI2155" s="2">
        <v>45291</v>
      </c>
      <c r="AJ2155" s="2">
        <v>45225</v>
      </c>
    </row>
    <row r="2156" spans="1:36">
      <c r="A2156" s="1" t="str">
        <f>"ZF83D0505D"</f>
        <v>ZF83D0505D</v>
      </c>
      <c r="B2156" s="1" t="str">
        <f t="shared" si="43"/>
        <v>02406911202</v>
      </c>
      <c r="C2156" s="1" t="s">
        <v>13</v>
      </c>
      <c r="D2156" s="1" t="s">
        <v>164</v>
      </c>
      <c r="E2156" s="1" t="s">
        <v>2134</v>
      </c>
      <c r="F2156" s="1" t="s">
        <v>39</v>
      </c>
      <c r="G2156" s="1" t="str">
        <f>"03359340837"</f>
        <v>03359340837</v>
      </c>
      <c r="I2156" s="1" t="s">
        <v>759</v>
      </c>
      <c r="L2156" s="1" t="s">
        <v>100</v>
      </c>
      <c r="AJ2156" s="2">
        <v>45225</v>
      </c>
    </row>
    <row r="2157" spans="1:36">
      <c r="A2157" s="1" t="str">
        <f>"ZF83D0505D"</f>
        <v>ZF83D0505D</v>
      </c>
      <c r="B2157" s="1" t="str">
        <f t="shared" si="43"/>
        <v>02406911202</v>
      </c>
      <c r="C2157" s="1" t="s">
        <v>13</v>
      </c>
      <c r="D2157" s="1" t="s">
        <v>164</v>
      </c>
      <c r="E2157" s="1" t="s">
        <v>2134</v>
      </c>
      <c r="F2157" s="1" t="s">
        <v>39</v>
      </c>
      <c r="G2157" s="1" t="str">
        <f>"01486330309"</f>
        <v>01486330309</v>
      </c>
      <c r="I2157" s="1" t="s">
        <v>840</v>
      </c>
      <c r="L2157" s="1" t="s">
        <v>100</v>
      </c>
      <c r="AJ2157" s="2">
        <v>45225</v>
      </c>
    </row>
    <row r="2158" spans="1:36">
      <c r="A2158" s="1" t="str">
        <f>"ZF83D0505D"</f>
        <v>ZF83D0505D</v>
      </c>
      <c r="B2158" s="1" t="str">
        <f t="shared" si="43"/>
        <v>02406911202</v>
      </c>
      <c r="C2158" s="1" t="s">
        <v>13</v>
      </c>
      <c r="D2158" s="1" t="s">
        <v>164</v>
      </c>
      <c r="E2158" s="1" t="s">
        <v>2134</v>
      </c>
      <c r="F2158" s="1" t="s">
        <v>39</v>
      </c>
      <c r="G2158" s="1" t="str">
        <f>"00740430335"</f>
        <v>00740430335</v>
      </c>
      <c r="I2158" s="1" t="s">
        <v>1514</v>
      </c>
      <c r="L2158" s="1" t="s">
        <v>100</v>
      </c>
      <c r="AJ2158" s="2">
        <v>45225</v>
      </c>
    </row>
    <row r="2159" spans="1:36">
      <c r="A2159" s="1" t="str">
        <f>"ZF83D4008E"</f>
        <v>ZF83D4008E</v>
      </c>
      <c r="B2159" s="1" t="str">
        <f t="shared" si="43"/>
        <v>02406911202</v>
      </c>
      <c r="C2159" s="1" t="s">
        <v>13</v>
      </c>
      <c r="D2159" s="1" t="s">
        <v>186</v>
      </c>
      <c r="E2159" s="1" t="s">
        <v>2135</v>
      </c>
      <c r="F2159" s="1" t="s">
        <v>158</v>
      </c>
      <c r="G2159" s="1" t="str">
        <f>"07424950157"</f>
        <v>07424950157</v>
      </c>
      <c r="I2159" s="1" t="s">
        <v>433</v>
      </c>
      <c r="L2159" s="1" t="s">
        <v>43</v>
      </c>
      <c r="M2159" s="1">
        <v>4999</v>
      </c>
      <c r="AG2159" s="1">
        <v>0</v>
      </c>
      <c r="AH2159" s="2">
        <v>45243</v>
      </c>
      <c r="AI2159" s="2">
        <v>45657</v>
      </c>
      <c r="AJ2159" s="2">
        <v>45243</v>
      </c>
    </row>
    <row r="2160" spans="1:36">
      <c r="A2160" s="1" t="str">
        <f>"ZF83D80AF3"</f>
        <v>ZF83D80AF3</v>
      </c>
      <c r="B2160" s="1" t="str">
        <f t="shared" si="43"/>
        <v>02406911202</v>
      </c>
      <c r="C2160" s="1" t="s">
        <v>13</v>
      </c>
      <c r="D2160" s="1" t="s">
        <v>186</v>
      </c>
      <c r="E2160" s="1" t="s">
        <v>2136</v>
      </c>
      <c r="F2160" s="1" t="s">
        <v>158</v>
      </c>
      <c r="G2160" s="1" t="str">
        <f>"12300580151"</f>
        <v>12300580151</v>
      </c>
      <c r="I2160" s="1" t="s">
        <v>297</v>
      </c>
      <c r="L2160" s="1" t="s">
        <v>43</v>
      </c>
      <c r="M2160" s="1">
        <v>36722.559999999998</v>
      </c>
      <c r="AG2160" s="1">
        <v>0</v>
      </c>
      <c r="AH2160" s="2">
        <v>45267</v>
      </c>
      <c r="AI2160" s="2">
        <v>45747</v>
      </c>
      <c r="AJ2160" s="2">
        <v>45267</v>
      </c>
    </row>
    <row r="2161" spans="1:36">
      <c r="A2161" s="1" t="str">
        <f>"ZF83DA5640"</f>
        <v>ZF83DA5640</v>
      </c>
      <c r="B2161" s="1" t="str">
        <f t="shared" si="43"/>
        <v>02406911202</v>
      </c>
      <c r="C2161" s="1" t="s">
        <v>13</v>
      </c>
      <c r="D2161" s="1" t="s">
        <v>164</v>
      </c>
      <c r="E2161" s="1" t="s">
        <v>2137</v>
      </c>
      <c r="F2161" s="1" t="s">
        <v>158</v>
      </c>
      <c r="G2161" s="1" t="str">
        <f>"02376321200"</f>
        <v>02376321200</v>
      </c>
      <c r="I2161" s="1" t="s">
        <v>376</v>
      </c>
      <c r="L2161" s="1" t="s">
        <v>43</v>
      </c>
      <c r="M2161" s="1">
        <v>936</v>
      </c>
      <c r="AG2161" s="1">
        <v>0</v>
      </c>
      <c r="AH2161" s="2">
        <v>45266</v>
      </c>
      <c r="AI2161" s="2">
        <v>45291</v>
      </c>
      <c r="AJ2161" s="2">
        <v>45266</v>
      </c>
    </row>
    <row r="2162" spans="1:36">
      <c r="A2162" s="1" t="str">
        <f>"ZF83DB9000"</f>
        <v>ZF83DB9000</v>
      </c>
      <c r="B2162" s="1" t="str">
        <f t="shared" si="43"/>
        <v>02406911202</v>
      </c>
      <c r="C2162" s="1" t="s">
        <v>13</v>
      </c>
      <c r="D2162" s="1" t="s">
        <v>186</v>
      </c>
      <c r="E2162" s="1" t="s">
        <v>2138</v>
      </c>
      <c r="F2162" s="1" t="s">
        <v>158</v>
      </c>
      <c r="G2162" s="1" t="str">
        <f>"02125550349"</f>
        <v>02125550349</v>
      </c>
      <c r="I2162" s="1" t="s">
        <v>308</v>
      </c>
      <c r="L2162" s="1" t="s">
        <v>43</v>
      </c>
      <c r="M2162" s="1">
        <v>4999</v>
      </c>
      <c r="AG2162" s="1">
        <v>0</v>
      </c>
      <c r="AH2162" s="2">
        <v>45272</v>
      </c>
      <c r="AI2162" s="2">
        <v>46022</v>
      </c>
      <c r="AJ2162" s="2">
        <v>45272</v>
      </c>
    </row>
    <row r="2163" spans="1:36">
      <c r="A2163" s="1" t="str">
        <f>"ZF93D3592A"</f>
        <v>ZF93D3592A</v>
      </c>
      <c r="B2163" s="1" t="str">
        <f t="shared" si="43"/>
        <v>02406911202</v>
      </c>
      <c r="C2163" s="1" t="s">
        <v>13</v>
      </c>
      <c r="D2163" s="1" t="s">
        <v>177</v>
      </c>
      <c r="E2163" s="1" t="s">
        <v>2139</v>
      </c>
      <c r="F2163" s="1" t="s">
        <v>158</v>
      </c>
      <c r="G2163" s="1" t="str">
        <f>"01420020404"</f>
        <v>01420020404</v>
      </c>
      <c r="I2163" s="1" t="s">
        <v>2140</v>
      </c>
      <c r="L2163" s="1" t="s">
        <v>43</v>
      </c>
      <c r="M2163" s="1">
        <v>153000</v>
      </c>
      <c r="AG2163" s="1">
        <v>0</v>
      </c>
      <c r="AH2163" s="2">
        <v>45231</v>
      </c>
      <c r="AI2163" s="2">
        <v>45961</v>
      </c>
      <c r="AJ2163" s="2">
        <v>45231</v>
      </c>
    </row>
    <row r="2164" spans="1:36">
      <c r="A2164" s="1" t="str">
        <f>"ZF93DBC923"</f>
        <v>ZF93DBC923</v>
      </c>
      <c r="B2164" s="1" t="str">
        <f t="shared" si="43"/>
        <v>02406911202</v>
      </c>
      <c r="C2164" s="1" t="s">
        <v>13</v>
      </c>
      <c r="D2164" s="1" t="s">
        <v>180</v>
      </c>
      <c r="E2164" s="1" t="s">
        <v>220</v>
      </c>
      <c r="F2164" s="1" t="s">
        <v>158</v>
      </c>
      <c r="G2164" s="1" t="str">
        <f>"07123400157"</f>
        <v>07123400157</v>
      </c>
      <c r="I2164" s="1" t="s">
        <v>120</v>
      </c>
      <c r="L2164" s="1" t="s">
        <v>43</v>
      </c>
      <c r="M2164" s="1">
        <v>5000</v>
      </c>
      <c r="AG2164" s="1">
        <v>0</v>
      </c>
      <c r="AH2164" s="2">
        <v>45288</v>
      </c>
      <c r="AI2164" s="2">
        <v>45657</v>
      </c>
      <c r="AJ2164" s="2">
        <v>45288</v>
      </c>
    </row>
    <row r="2165" spans="1:36">
      <c r="A2165" s="1" t="str">
        <f>"ZF93DDB846"</f>
        <v>ZF93DDB846</v>
      </c>
      <c r="B2165" s="1" t="str">
        <f t="shared" si="43"/>
        <v>02406911202</v>
      </c>
      <c r="C2165" s="1" t="s">
        <v>13</v>
      </c>
      <c r="D2165" s="1" t="s">
        <v>164</v>
      </c>
      <c r="E2165" s="1" t="s">
        <v>2141</v>
      </c>
      <c r="F2165" s="1" t="s">
        <v>39</v>
      </c>
      <c r="G2165" s="1" t="str">
        <f>"03593680378"</f>
        <v>03593680378</v>
      </c>
      <c r="I2165" s="1" t="s">
        <v>1001</v>
      </c>
      <c r="L2165" s="1" t="s">
        <v>43</v>
      </c>
      <c r="M2165" s="1">
        <v>220</v>
      </c>
      <c r="AG2165" s="1">
        <v>0</v>
      </c>
      <c r="AH2165" s="2">
        <v>45279</v>
      </c>
      <c r="AI2165" s="2">
        <v>45291</v>
      </c>
      <c r="AJ2165" s="2">
        <v>45279</v>
      </c>
    </row>
    <row r="2166" spans="1:36">
      <c r="A2166" s="1" t="str">
        <f>"ZFA3D7A876"</f>
        <v>ZFA3D7A876</v>
      </c>
      <c r="B2166" s="1" t="str">
        <f t="shared" si="43"/>
        <v>02406911202</v>
      </c>
      <c r="C2166" s="1" t="s">
        <v>13</v>
      </c>
      <c r="D2166" s="1" t="s">
        <v>180</v>
      </c>
      <c r="E2166" s="1" t="s">
        <v>220</v>
      </c>
      <c r="F2166" s="1" t="s">
        <v>158</v>
      </c>
      <c r="G2166" s="1" t="str">
        <f>"07862510018"</f>
        <v>07862510018</v>
      </c>
      <c r="I2166" s="1" t="s">
        <v>330</v>
      </c>
      <c r="L2166" s="1" t="s">
        <v>43</v>
      </c>
      <c r="M2166" s="1">
        <v>6000</v>
      </c>
      <c r="AG2166" s="1">
        <v>0</v>
      </c>
      <c r="AH2166" s="2">
        <v>45259</v>
      </c>
      <c r="AI2166" s="2">
        <v>45291</v>
      </c>
      <c r="AJ2166" s="2">
        <v>45259</v>
      </c>
    </row>
    <row r="2167" spans="1:36">
      <c r="A2167" s="1" t="str">
        <f>"ZFA3D94638"</f>
        <v>ZFA3D94638</v>
      </c>
      <c r="B2167" s="1" t="str">
        <f t="shared" si="43"/>
        <v>02406911202</v>
      </c>
      <c r="C2167" s="1" t="s">
        <v>13</v>
      </c>
      <c r="D2167" s="1" t="s">
        <v>180</v>
      </c>
      <c r="E2167" s="1" t="s">
        <v>220</v>
      </c>
      <c r="F2167" s="1" t="s">
        <v>158</v>
      </c>
      <c r="G2167" s="1" t="str">
        <f>"03544600137"</f>
        <v>03544600137</v>
      </c>
      <c r="I2167" s="1" t="s">
        <v>1037</v>
      </c>
      <c r="L2167" s="1" t="s">
        <v>43</v>
      </c>
      <c r="M2167" s="1">
        <v>6000</v>
      </c>
      <c r="AG2167" s="1">
        <v>0</v>
      </c>
      <c r="AH2167" s="2">
        <v>45271</v>
      </c>
      <c r="AI2167" s="2">
        <v>45657</v>
      </c>
      <c r="AJ2167" s="2">
        <v>45271</v>
      </c>
    </row>
    <row r="2168" spans="1:36">
      <c r="A2168" s="1" t="str">
        <f>"ZFA3DB24B0"</f>
        <v>ZFA3DB24B0</v>
      </c>
      <c r="B2168" s="1" t="str">
        <f t="shared" si="43"/>
        <v>02406911202</v>
      </c>
      <c r="C2168" s="1" t="s">
        <v>13</v>
      </c>
      <c r="D2168" s="1" t="s">
        <v>167</v>
      </c>
      <c r="E2168" s="1" t="s">
        <v>2142</v>
      </c>
      <c r="F2168" s="1" t="s">
        <v>158</v>
      </c>
      <c r="G2168" s="1" t="str">
        <f>"00399810589"</f>
        <v>00399810589</v>
      </c>
      <c r="I2168" s="1" t="s">
        <v>1522</v>
      </c>
      <c r="L2168" s="1" t="s">
        <v>43</v>
      </c>
      <c r="M2168" s="1">
        <v>1022.47</v>
      </c>
      <c r="AG2168" s="1">
        <v>0</v>
      </c>
      <c r="AH2168" s="2">
        <v>45280</v>
      </c>
      <c r="AI2168" s="2">
        <v>45291</v>
      </c>
      <c r="AJ2168" s="2">
        <v>45280</v>
      </c>
    </row>
    <row r="2169" spans="1:36">
      <c r="A2169" s="1" t="str">
        <f>"A0138376AA"</f>
        <v>A0138376AA</v>
      </c>
      <c r="B2169" s="1" t="str">
        <f t="shared" si="43"/>
        <v>02406911202</v>
      </c>
      <c r="C2169" s="1" t="s">
        <v>13</v>
      </c>
      <c r="D2169" s="1" t="s">
        <v>40</v>
      </c>
      <c r="E2169" s="1" t="s">
        <v>2143</v>
      </c>
      <c r="F2169" s="1" t="s">
        <v>132</v>
      </c>
      <c r="G2169" s="1" t="str">
        <f>"00805390283"</f>
        <v>00805390283</v>
      </c>
      <c r="I2169" s="1" t="s">
        <v>422</v>
      </c>
      <c r="L2169" s="1" t="s">
        <v>100</v>
      </c>
      <c r="AJ2169" s="2">
        <v>45191</v>
      </c>
    </row>
    <row r="2170" spans="1:36">
      <c r="A2170" s="1" t="str">
        <f>"A0138376AA"</f>
        <v>A0138376AA</v>
      </c>
      <c r="B2170" s="1" t="str">
        <f t="shared" si="43"/>
        <v>02406911202</v>
      </c>
      <c r="C2170" s="1" t="s">
        <v>13</v>
      </c>
      <c r="D2170" s="1" t="s">
        <v>40</v>
      </c>
      <c r="E2170" s="1" t="s">
        <v>2143</v>
      </c>
      <c r="F2170" s="1" t="s">
        <v>132</v>
      </c>
      <c r="G2170" s="1" t="str">
        <f>"06754140157"</f>
        <v>06754140157</v>
      </c>
      <c r="I2170" s="1" t="s">
        <v>918</v>
      </c>
      <c r="L2170" s="1" t="s">
        <v>100</v>
      </c>
      <c r="AJ2170" s="2">
        <v>45191</v>
      </c>
    </row>
    <row r="2171" spans="1:36">
      <c r="A2171" s="1" t="str">
        <f>"A0138376AA"</f>
        <v>A0138376AA</v>
      </c>
      <c r="B2171" s="1" t="str">
        <f t="shared" si="43"/>
        <v>02406911202</v>
      </c>
      <c r="C2171" s="1" t="s">
        <v>13</v>
      </c>
      <c r="D2171" s="1" t="s">
        <v>40</v>
      </c>
      <c r="E2171" s="1" t="s">
        <v>2143</v>
      </c>
      <c r="F2171" s="1" t="s">
        <v>132</v>
      </c>
      <c r="G2171" s="1" t="str">
        <f>"03597020373"</f>
        <v>03597020373</v>
      </c>
      <c r="I2171" s="1" t="s">
        <v>254</v>
      </c>
      <c r="L2171" s="1" t="s">
        <v>43</v>
      </c>
      <c r="M2171" s="1">
        <v>201400</v>
      </c>
      <c r="N2171" s="1">
        <v>91200</v>
      </c>
      <c r="O2171" s="1">
        <v>110200</v>
      </c>
      <c r="AJ2171" s="2">
        <v>45191</v>
      </c>
    </row>
    <row r="2172" spans="1:36">
      <c r="A2172" s="1" t="str">
        <f>"A0138376AA"</f>
        <v>A0138376AA</v>
      </c>
      <c r="B2172" s="1" t="str">
        <f t="shared" si="43"/>
        <v>02406911202</v>
      </c>
      <c r="C2172" s="1" t="s">
        <v>13</v>
      </c>
      <c r="D2172" s="1" t="s">
        <v>40</v>
      </c>
      <c r="E2172" s="1" t="s">
        <v>2143</v>
      </c>
      <c r="F2172" s="1" t="s">
        <v>132</v>
      </c>
      <c r="G2172" s="1" t="str">
        <f>"02705540165"</f>
        <v>02705540165</v>
      </c>
      <c r="I2172" s="1" t="s">
        <v>1760</v>
      </c>
      <c r="L2172" s="1" t="s">
        <v>100</v>
      </c>
      <c r="AJ2172" s="2">
        <v>45191</v>
      </c>
    </row>
    <row r="2173" spans="1:36">
      <c r="A2173" s="1" t="str">
        <f>"A0138376AA"</f>
        <v>A0138376AA</v>
      </c>
      <c r="B2173" s="1" t="str">
        <f t="shared" si="43"/>
        <v>02406911202</v>
      </c>
      <c r="C2173" s="1" t="s">
        <v>13</v>
      </c>
      <c r="D2173" s="1" t="s">
        <v>40</v>
      </c>
      <c r="E2173" s="1" t="s">
        <v>2143</v>
      </c>
      <c r="F2173" s="1" t="s">
        <v>132</v>
      </c>
      <c r="G2173" s="1" t="str">
        <f>"00650230428"</f>
        <v>00650230428</v>
      </c>
      <c r="I2173" s="1" t="s">
        <v>2144</v>
      </c>
      <c r="L2173" s="1" t="s">
        <v>100</v>
      </c>
      <c r="AJ2173" s="2">
        <v>45191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GareContrattiAppaltiEconomie_23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Custer Gen</dc:creator>
  <cp:lastModifiedBy>Utente</cp:lastModifiedBy>
  <dcterms:created xsi:type="dcterms:W3CDTF">2024-01-31T13:21:11Z</dcterms:created>
  <dcterms:modified xsi:type="dcterms:W3CDTF">2024-01-31T13:27:20Z</dcterms:modified>
</cp:coreProperties>
</file>